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240" windowHeight="1224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<sst xmlns="http://schemas.openxmlformats.org/spreadsheetml/2006/main" count="261" uniqueCount="90">
  <si>
    <t>Vereinsname</t>
  </si>
  <si>
    <t>in ...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</si>
  <si>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</si>
  <si>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</si>
  <si>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</si>
  <si>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</si>
  <si>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</si>
  <si>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</si>
  <si>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</si>
  <si>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</si>
  <si>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</si>
  <si>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</si>
  <si>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</si>
  <si>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</si>
  <si>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</si>
  <si>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</si>
  <si>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</si>
  <si>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</si>
  <si>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</si>
  <si>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</si>
  <si>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</si>
  <si>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</si>
  <si>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</si>
  <si>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</si>
  <si>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</si>
  <si>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</si>
  <si>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</si>
  <si>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</si>
  <si>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</si>
  <si>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</si>
  <si>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</si>
  <si>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</si>
  <si>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</si>
  <si>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</si>
  <si>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</si>
  <si>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</si>
  <si>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</si>
  <si>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</si>
  <si>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</si>
  <si>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</si>
  <si>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</si>
  <si>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</si>
  <si>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</si>
  <si>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</si>
  <si>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</si>
  <si>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</si>
  <si>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</si>
  <si>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</si>
  <si>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</si>
  <si>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</si>
  <si>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</si>
  <si>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</si>
  <si>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</si>
  <si>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</si>
  <si>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</si>
  <si>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</si>
  <si>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</si>
  <si>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</si>
  <si>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</si>
  <si>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</si>
  <si>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</si>
  <si>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</si>
  <si>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</si>
  <si>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</si>
  <si>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</si>
  <si>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</si>
  <si>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</si>
  <si>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Fußballturnier für - 2 X 4 - Mannschaften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</si>
  <si>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</si>
  <si>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</si>
  <si>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</si>
  <si>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</si>
  <si>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</si>
  <si>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</si>
  <si>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</si>
  <si>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</si>
  <si>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</si>
  <si>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</si>
  <si>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</si>
  <si>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</si>
  <si>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</si>
  <si>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FC Gütersloh</t>
  </si>
  <si>
    <t>Spvg Steinhagen</t>
  </si>
  <si>
    <t>SV Spexard</t>
  </si>
  <si>
    <t>SCE Gütersloh</t>
  </si>
  <si>
    <t>TuS Eintracht Bielefeld</t>
  </si>
  <si>
    <t>Herzebrocker SV</t>
  </si>
  <si>
    <t>FC Sürenheide</t>
  </si>
  <si>
    <t>FA Herringhausen-Eickum</t>
  </si>
  <si>
    <t>E3-Junioren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</si>
</sst>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:ss.0;@"/>
    <numFmt numFmtId="176" formatCode="h:mm;@"/>
    <numFmt numFmtId="177" formatCode="[$-F400]h:mm:ss\ AM/PM"/>
    <numFmt numFmtId="178" formatCode="0_ ;[Red]\-0\ "/>
    <numFmt numFmtId="179" formatCode="00000"/>
    <numFmt numFmtId="180" formatCode="0&quot;.&quot;"/>
    <numFmt numFmtId="181" formatCode="0\ &quot;:&quot;"/>
    <numFmt numFmtId="182" formatCode=";;;"/>
    <numFmt numFmtId="183" formatCode="0\ &quot;min&quot;"/>
    <numFmt numFmtId="184" formatCode="0;;\ &quot;min&quot;"/>
    <numFmt numFmtId="185" formatCode="[$-F800]dddd\,\ mmmm\ dd\,\ yyyy"/>
    <numFmt numFmtId="186" formatCode="&quot;Am&quot;\ dddd\,\ dd/\ mmmm\ yyyy"/>
    <numFmt numFmtId="187" formatCode="[=0]&quot;&quot;;0\ &quot;min&quot;"/>
    <numFmt numFmtId="188" formatCode="0.0"/>
    <numFmt numFmtId="189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62"/>
      <name val="Verdana"/>
      <family val="2"/>
    </font>
    <font>
      <b/>
      <sz val="11"/>
      <color indexed="8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Verdana"/>
      <family val="2"/>
    </font>
    <font>
      <b/>
      <sz val="13"/>
      <color indexed="54"/>
      <name val="Verdana"/>
      <family val="2"/>
    </font>
    <font>
      <b/>
      <sz val="11"/>
      <color indexed="54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3F3F76"/>
      <name val="Verdana"/>
      <family val="2"/>
    </font>
    <font>
      <b/>
      <sz val="11"/>
      <color theme="1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sz val="11"/>
      <color rgb="FF9C5700"/>
      <name val="Verdana"/>
      <family val="2"/>
    </font>
    <font>
      <sz val="11"/>
      <color rgb="FF9C0006"/>
      <name val="Verdana"/>
      <family val="2"/>
    </font>
    <font>
      <sz val="18"/>
      <color theme="3"/>
      <name val="Calibri Light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FA7D00"/>
      <name val="Verdana"/>
      <family val="2"/>
    </font>
    <font>
      <sz val="11"/>
      <color rgb="FFFF0000"/>
      <name val="Verdana"/>
      <family val="2"/>
    </font>
    <font>
      <b/>
      <sz val="11"/>
      <color theme="0"/>
      <name val="Verdana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3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6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4" fontId="15" fillId="0" borderId="0" xfId="0" applyNumberFormat="1" applyFont="1" applyAlignment="1" applyProtection="1">
      <alignment vertical="center"/>
      <protection hidden="1"/>
    </xf>
    <xf numFmtId="184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2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0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80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6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4" fontId="33" fillId="0" borderId="0" xfId="0" applyNumberFormat="1" applyFont="1" applyAlignment="1" applyProtection="1">
      <alignment vertical="center"/>
      <protection hidden="1"/>
    </xf>
    <xf numFmtId="184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6" fontId="10" fillId="0" borderId="0" xfId="0" applyNumberFormat="1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2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80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8" fontId="17" fillId="0" borderId="0" xfId="0" applyNumberFormat="1" applyFont="1" applyBorder="1" applyAlignment="1" applyProtection="1">
      <alignment horizontal="center" vertical="center"/>
      <protection hidden="1"/>
    </xf>
    <xf numFmtId="176" fontId="14" fillId="0" borderId="0" xfId="0" applyNumberFormat="1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8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9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9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shrinkToFit="1"/>
    </xf>
    <xf numFmtId="0" fontId="11" fillId="0" borderId="21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locked="0"/>
    </xf>
    <xf numFmtId="187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4" fillId="32" borderId="24" xfId="0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8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center" vertical="center" shrinkToFit="1"/>
      <protection locked="0"/>
    </xf>
    <xf numFmtId="181" fontId="17" fillId="0" borderId="29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1" xfId="0" applyFont="1" applyFill="1" applyBorder="1" applyAlignment="1" applyProtection="1">
      <alignment horizontal="center" vertical="center"/>
      <protection hidden="1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5" borderId="24" xfId="0" applyFont="1" applyFill="1" applyBorder="1" applyAlignment="1" applyProtection="1">
      <alignment horizontal="center" vertical="center" shrinkToFit="1"/>
      <protection hidden="1"/>
    </xf>
    <xf numFmtId="0" fontId="14" fillId="35" borderId="25" xfId="0" applyFont="1" applyFill="1" applyBorder="1" applyAlignment="1" applyProtection="1">
      <alignment horizontal="center" vertical="center" shrinkToFit="1"/>
      <protection hidden="1"/>
    </xf>
    <xf numFmtId="0" fontId="14" fillId="35" borderId="26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left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180" fontId="17" fillId="0" borderId="22" xfId="0" applyNumberFormat="1" applyFont="1" applyBorder="1" applyAlignment="1" applyProtection="1">
      <alignment horizontal="center" vertical="center" shrinkToFit="1"/>
      <protection hidden="1"/>
    </xf>
    <xf numFmtId="180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39" xfId="0" applyFont="1" applyFill="1" applyBorder="1" applyAlignment="1" applyProtection="1">
      <alignment horizontal="center" textRotation="90"/>
      <protection hidden="1"/>
    </xf>
    <xf numFmtId="0" fontId="14" fillId="35" borderId="21" xfId="0" applyFont="1" applyFill="1" applyBorder="1" applyAlignment="1" applyProtection="1">
      <alignment horizontal="center" textRotation="90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6" borderId="44" xfId="0" applyFont="1" applyFill="1" applyBorder="1" applyAlignment="1" applyProtection="1">
      <alignment horizontal="center" textRotation="90" shrinkToFit="1"/>
      <protection hidden="1"/>
    </xf>
    <xf numFmtId="0" fontId="14" fillId="36" borderId="45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5" borderId="49" xfId="0" applyFont="1" applyFill="1" applyBorder="1" applyAlignment="1" applyProtection="1">
      <alignment horizontal="center" textRotation="90"/>
      <protection hidden="1"/>
    </xf>
    <xf numFmtId="0" fontId="14" fillId="35" borderId="50" xfId="0" applyFont="1" applyFill="1" applyBorder="1" applyAlignment="1" applyProtection="1">
      <alignment horizontal="center" textRotation="90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7" fillId="0" borderId="55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34" borderId="33" xfId="0" applyFont="1" applyFill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34" borderId="38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4" fillId="36" borderId="60" xfId="0" applyFont="1" applyFill="1" applyBorder="1" applyAlignment="1" applyProtection="1">
      <alignment horizontal="center" textRotation="90" shrinkToFit="1"/>
      <protection hidden="1"/>
    </xf>
    <xf numFmtId="0" fontId="14" fillId="36" borderId="61" xfId="0" applyFont="1" applyFill="1" applyBorder="1" applyAlignment="1" applyProtection="1">
      <alignment horizontal="center" textRotation="90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6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3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4" xfId="0" applyFont="1" applyFill="1" applyBorder="1" applyAlignment="1" applyProtection="1">
      <alignment horizontal="left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59" xfId="0" applyFont="1" applyFill="1" applyBorder="1" applyAlignment="1" applyProtection="1">
      <alignment horizontal="center" vertical="center" shrinkToFit="1"/>
      <protection hidden="1"/>
    </xf>
    <xf numFmtId="0" fontId="17" fillId="0" borderId="55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6" xfId="0" applyFont="1" applyFill="1" applyBorder="1" applyAlignment="1" applyProtection="1">
      <alignment horizontal="center" vertical="center" shrinkToFit="1"/>
      <protection hidden="1"/>
    </xf>
    <xf numFmtId="0" fontId="17" fillId="0" borderId="65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hidden="1"/>
    </xf>
    <xf numFmtId="0" fontId="23" fillId="0" borderId="67" xfId="0" applyFont="1" applyBorder="1" applyAlignment="1" applyProtection="1">
      <alignment horizontal="center" vertical="center"/>
      <protection hidden="1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181" fontId="17" fillId="0" borderId="49" xfId="0" applyNumberFormat="1" applyFont="1" applyFill="1" applyBorder="1" applyAlignment="1" applyProtection="1">
      <alignment horizontal="right" vertical="center" shrinkToFit="1"/>
      <protection locked="0"/>
    </xf>
    <xf numFmtId="181" fontId="17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 locked="0"/>
    </xf>
    <xf numFmtId="0" fontId="17" fillId="0" borderId="72" xfId="0" applyFont="1" applyFill="1" applyBorder="1" applyAlignment="1" applyProtection="1">
      <alignment horizontal="left" vertical="center" shrinkToFit="1"/>
      <protection hidden="1"/>
    </xf>
    <xf numFmtId="0" fontId="14" fillId="37" borderId="31" xfId="0" applyFont="1" applyFill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center" vertical="center"/>
      <protection hidden="1"/>
    </xf>
    <xf numFmtId="0" fontId="17" fillId="0" borderId="73" xfId="0" applyFont="1" applyFill="1" applyBorder="1" applyAlignment="1" applyProtection="1">
      <alignment horizontal="left" vertical="center" shrinkToFit="1"/>
      <protection hidden="1"/>
    </xf>
    <xf numFmtId="0" fontId="14" fillId="0" borderId="60" xfId="0" applyFont="1" applyFill="1" applyBorder="1" applyAlignment="1" applyProtection="1">
      <alignment horizontal="center" vertical="center"/>
      <protection hidden="1"/>
    </xf>
    <xf numFmtId="0" fontId="14" fillId="0" borderId="44" xfId="0" applyFont="1" applyFill="1" applyBorder="1" applyAlignment="1" applyProtection="1">
      <alignment horizontal="center" vertical="center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7" xfId="0" applyFont="1" applyFill="1" applyBorder="1" applyAlignment="1" applyProtection="1">
      <alignment horizontal="center" vertical="center"/>
      <protection hidden="1"/>
    </xf>
    <xf numFmtId="0" fontId="14" fillId="38" borderId="74" xfId="0" applyFont="1" applyFill="1" applyBorder="1" applyAlignment="1" applyProtection="1">
      <alignment horizontal="center" vertical="center"/>
      <protection hidden="1"/>
    </xf>
    <xf numFmtId="0" fontId="14" fillId="38" borderId="31" xfId="0" applyFont="1" applyFill="1" applyBorder="1" applyAlignment="1" applyProtection="1">
      <alignment horizontal="center" vertical="center"/>
      <protection hidden="1"/>
    </xf>
    <xf numFmtId="0" fontId="14" fillId="32" borderId="74" xfId="0" applyFont="1" applyFill="1" applyBorder="1" applyAlignment="1" applyProtection="1">
      <alignment horizontal="center" vertical="center"/>
      <protection hidden="1"/>
    </xf>
    <xf numFmtId="0" fontId="14" fillId="37" borderId="74" xfId="0" applyFont="1" applyFill="1" applyBorder="1" applyAlignment="1" applyProtection="1">
      <alignment horizontal="center" vertical="center"/>
      <protection hidden="1"/>
    </xf>
    <xf numFmtId="0" fontId="14" fillId="34" borderId="74" xfId="0" applyFont="1" applyFill="1" applyBorder="1" applyAlignment="1" applyProtection="1">
      <alignment horizontal="center" vertical="center"/>
      <protection hidden="1"/>
    </xf>
    <xf numFmtId="0" fontId="14" fillId="34" borderId="31" xfId="0" applyFont="1" applyFill="1" applyBorder="1" applyAlignment="1" applyProtection="1">
      <alignment horizontal="center" vertical="center"/>
      <protection hidden="1"/>
    </xf>
    <xf numFmtId="0" fontId="14" fillId="34" borderId="75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6" fontId="17" fillId="0" borderId="29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6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4" xfId="0" applyFont="1" applyFill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5" borderId="24" xfId="0" applyFont="1" applyFill="1" applyBorder="1" applyAlignment="1" applyProtection="1">
      <alignment horizontal="center" vertical="center"/>
      <protection hidden="1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6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72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7" xfId="0" applyNumberFormat="1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0" fontId="17" fillId="0" borderId="76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47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1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7" fillId="0" borderId="7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4" xfId="0" applyFont="1" applyBorder="1" applyAlignment="1" applyProtection="1">
      <alignment horizontal="center" vertical="center" shrinkToFit="1"/>
      <protection hidden="1"/>
    </xf>
    <xf numFmtId="180" fontId="17" fillId="0" borderId="27" xfId="0" applyNumberFormat="1" applyFont="1" applyBorder="1" applyAlignment="1" applyProtection="1">
      <alignment horizontal="center" vertical="center" shrinkToFit="1"/>
      <protection hidden="1"/>
    </xf>
    <xf numFmtId="180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180" fontId="17" fillId="0" borderId="77" xfId="0" applyNumberFormat="1" applyFont="1" applyBorder="1" applyAlignment="1" applyProtection="1">
      <alignment horizontal="center" vertical="center" shrinkToFit="1"/>
      <protection hidden="1"/>
    </xf>
    <xf numFmtId="180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5" xfId="0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31" xfId="0" applyFont="1" applyFill="1" applyBorder="1" applyAlignment="1" applyProtection="1">
      <alignment horizontal="center" vertical="center" shrinkToFit="1"/>
      <protection hidden="1"/>
    </xf>
    <xf numFmtId="0" fontId="14" fillId="35" borderId="75" xfId="0" applyFont="1" applyFill="1" applyBorder="1" applyAlignment="1" applyProtection="1">
      <alignment horizontal="center" vertical="center" shrinkToFit="1"/>
      <protection hidden="1"/>
    </xf>
    <xf numFmtId="1" fontId="17" fillId="0" borderId="56" xfId="0" applyNumberFormat="1" applyFont="1" applyBorder="1" applyAlignment="1" applyProtection="1">
      <alignment horizontal="center" vertical="center" shrinkToFit="1"/>
      <protection hidden="1"/>
    </xf>
    <xf numFmtId="1" fontId="17" fillId="0" borderId="73" xfId="0" applyNumberFormat="1" applyFont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4" fillId="36" borderId="78" xfId="0" applyFont="1" applyFill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1" fontId="17" fillId="0" borderId="29" xfId="0" applyNumberFormat="1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79" xfId="0" applyFont="1" applyBorder="1" applyAlignment="1" applyProtection="1">
      <alignment horizontal="center" vertical="center" shrinkToFit="1"/>
      <protection hidden="1"/>
    </xf>
    <xf numFmtId="181" fontId="14" fillId="39" borderId="55" xfId="0" applyNumberFormat="1" applyFont="1" applyFill="1" applyBorder="1" applyAlignment="1" applyProtection="1">
      <alignment horizontal="center" vertical="center"/>
      <protection hidden="1"/>
    </xf>
    <xf numFmtId="181" fontId="14" fillId="39" borderId="29" xfId="0" applyNumberFormat="1" applyFont="1" applyFill="1" applyBorder="1" applyAlignment="1" applyProtection="1">
      <alignment horizontal="center" vertical="center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4" fillId="37" borderId="25" xfId="0" applyFont="1" applyFill="1" applyBorder="1" applyAlignment="1" applyProtection="1">
      <alignment horizontal="center" vertical="center"/>
      <protection hidden="1"/>
    </xf>
    <xf numFmtId="0" fontId="14" fillId="37" borderId="75" xfId="0" applyFont="1" applyFill="1" applyBorder="1" applyAlignment="1" applyProtection="1">
      <alignment horizontal="center" vertical="center"/>
      <protection hidden="1"/>
    </xf>
    <xf numFmtId="0" fontId="14" fillId="32" borderId="75" xfId="0" applyFont="1" applyFill="1" applyBorder="1" applyAlignment="1" applyProtection="1">
      <alignment horizontal="center" vertical="center"/>
      <protection hidden="1"/>
    </xf>
    <xf numFmtId="181" fontId="17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4" xfId="0" applyFont="1" applyFill="1" applyBorder="1" applyAlignment="1" applyProtection="1">
      <alignment horizontal="center" vertical="center" shrinkToFit="1"/>
      <protection hidden="1"/>
    </xf>
    <xf numFmtId="0" fontId="14" fillId="36" borderId="25" xfId="0" applyFont="1" applyFill="1" applyBorder="1" applyAlignment="1" applyProtection="1">
      <alignment horizontal="center" vertical="center" shrinkToFit="1"/>
      <protection hidden="1"/>
    </xf>
    <xf numFmtId="0" fontId="14" fillId="36" borderId="26" xfId="0" applyFont="1" applyFill="1" applyBorder="1" applyAlignment="1" applyProtection="1">
      <alignment horizontal="center" vertical="center" shrinkToFit="1"/>
      <protection hidden="1"/>
    </xf>
    <xf numFmtId="0" fontId="14" fillId="37" borderId="24" xfId="0" applyFont="1" applyFill="1" applyBorder="1" applyAlignment="1" applyProtection="1">
      <alignment horizontal="center" vertical="center"/>
      <protection hidden="1"/>
    </xf>
    <xf numFmtId="0" fontId="14" fillId="37" borderId="26" xfId="0" applyFont="1" applyFill="1" applyBorder="1" applyAlignment="1" applyProtection="1">
      <alignment horizontal="center" vertical="center"/>
      <protection hidden="1"/>
    </xf>
    <xf numFmtId="0" fontId="14" fillId="38" borderId="24" xfId="0" applyFont="1" applyFill="1" applyBorder="1" applyAlignment="1" applyProtection="1">
      <alignment horizontal="center" vertical="center"/>
      <protection hidden="1"/>
    </xf>
    <xf numFmtId="0" fontId="14" fillId="38" borderId="25" xfId="0" applyFont="1" applyFill="1" applyBorder="1" applyAlignment="1" applyProtection="1">
      <alignment horizontal="center" vertical="center"/>
      <protection hidden="1"/>
    </xf>
    <xf numFmtId="0" fontId="14" fillId="38" borderId="26" xfId="0" applyFont="1" applyFill="1" applyBorder="1" applyAlignment="1" applyProtection="1">
      <alignment horizontal="center" vertical="center"/>
      <protection hidden="1"/>
    </xf>
    <xf numFmtId="176" fontId="14" fillId="0" borderId="44" xfId="0" applyNumberFormat="1" applyFont="1" applyFill="1" applyBorder="1" applyAlignment="1" applyProtection="1">
      <alignment horizontal="center" vertical="center"/>
      <protection hidden="1"/>
    </xf>
    <xf numFmtId="176" fontId="14" fillId="0" borderId="47" xfId="0" applyNumberFormat="1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8" borderId="75" xfId="0" applyFont="1" applyFill="1" applyBorder="1" applyAlignment="1" applyProtection="1">
      <alignment horizontal="center" vertical="center"/>
      <protection hidden="1"/>
    </xf>
    <xf numFmtId="187" fontId="14" fillId="0" borderId="0" xfId="0" applyNumberFormat="1" applyFont="1" applyBorder="1" applyAlignment="1" applyProtection="1">
      <alignment horizontal="left" vertical="center"/>
      <protection hidden="1"/>
    </xf>
    <xf numFmtId="176" fontId="17" fillId="0" borderId="73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7" fillId="0" borderId="6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79" xfId="0" applyFont="1" applyBorder="1" applyAlignment="1" applyProtection="1">
      <alignment horizontal="left" vertical="center" shrinkToFit="1"/>
      <protection hidden="1"/>
    </xf>
    <xf numFmtId="0" fontId="14" fillId="0" borderId="73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3" xfId="0" applyFont="1" applyBorder="1" applyAlignment="1" applyProtection="1">
      <alignment horizontal="left" vertical="center" shrinkToFit="1"/>
      <protection hidden="1"/>
    </xf>
    <xf numFmtId="0" fontId="14" fillId="0" borderId="77" xfId="0" applyFont="1" applyBorder="1" applyAlignment="1" applyProtection="1">
      <alignment horizontal="center" vertical="center"/>
      <protection hidden="1"/>
    </xf>
    <xf numFmtId="0" fontId="14" fillId="0" borderId="76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3" fontId="14" fillId="0" borderId="0" xfId="0" applyNumberFormat="1" applyFont="1" applyBorder="1" applyAlignment="1" applyProtection="1">
      <alignment horizontal="left" vertical="center"/>
      <protection hidden="1"/>
    </xf>
    <xf numFmtId="183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2" borderId="24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2" borderId="75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35" borderId="24" xfId="0" applyFont="1" applyFill="1" applyBorder="1" applyAlignment="1" applyProtection="1">
      <alignment horizontal="center" vertical="center" shrinkToFit="1"/>
      <protection hidden="1"/>
    </xf>
    <xf numFmtId="0" fontId="10" fillId="35" borderId="25" xfId="0" applyFont="1" applyFill="1" applyBorder="1" applyAlignment="1" applyProtection="1">
      <alignment horizontal="center" vertical="center" shrinkToFit="1"/>
      <protection hidden="1"/>
    </xf>
    <xf numFmtId="0" fontId="10" fillId="35" borderId="26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8" xfId="0" applyFont="1" applyFill="1" applyBorder="1" applyAlignment="1" applyProtection="1">
      <alignment horizontal="center" vertical="center" shrinkToFit="1"/>
      <protection hidden="1"/>
    </xf>
    <xf numFmtId="0" fontId="10" fillId="38" borderId="24" xfId="0" applyFont="1" applyFill="1" applyBorder="1" applyAlignment="1" applyProtection="1">
      <alignment horizontal="center" vertical="center"/>
      <protection hidden="1"/>
    </xf>
    <xf numFmtId="0" fontId="10" fillId="38" borderId="25" xfId="0" applyFont="1" applyFill="1" applyBorder="1" applyAlignment="1" applyProtection="1">
      <alignment horizontal="center" vertical="center"/>
      <protection hidden="1"/>
    </xf>
    <xf numFmtId="0" fontId="10" fillId="38" borderId="26" xfId="0" applyFont="1" applyFill="1" applyBorder="1" applyAlignment="1" applyProtection="1">
      <alignment horizontal="center" vertical="center"/>
      <protection hidden="1"/>
    </xf>
    <xf numFmtId="0" fontId="10" fillId="37" borderId="24" xfId="0" applyFont="1" applyFill="1" applyBorder="1" applyAlignment="1" applyProtection="1">
      <alignment horizontal="center" vertical="center"/>
      <protection hidden="1"/>
    </xf>
    <xf numFmtId="0" fontId="10" fillId="37" borderId="25" xfId="0" applyFont="1" applyFill="1" applyBorder="1" applyAlignment="1" applyProtection="1">
      <alignment horizontal="center" vertical="center"/>
      <protection hidden="1"/>
    </xf>
    <xf numFmtId="0" fontId="10" fillId="37" borderId="26" xfId="0" applyFont="1" applyFill="1" applyBorder="1" applyAlignment="1" applyProtection="1">
      <alignment horizontal="center" vertical="center"/>
      <protection hidden="1"/>
    </xf>
    <xf numFmtId="180" fontId="10" fillId="0" borderId="22" xfId="0" applyNumberFormat="1" applyFont="1" applyBorder="1" applyAlignment="1" applyProtection="1">
      <alignment horizontal="center" vertical="center" shrinkToFit="1"/>
      <protection hidden="1"/>
    </xf>
    <xf numFmtId="180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73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64" xfId="0" applyFont="1" applyBorder="1" applyAlignment="1" applyProtection="1">
      <alignment horizontal="center" vertical="center" shrinkToFit="1"/>
      <protection hidden="1"/>
    </xf>
    <xf numFmtId="0" fontId="10" fillId="34" borderId="38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6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6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34" borderId="33" xfId="0" applyFont="1" applyFill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8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79" xfId="0" applyFont="1" applyBorder="1" applyAlignment="1" applyProtection="1">
      <alignment horizontal="left" vertical="center" shrinkToFit="1"/>
      <protection hidden="1"/>
    </xf>
    <xf numFmtId="0" fontId="10" fillId="0" borderId="7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181" fontId="10" fillId="0" borderId="44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49" xfId="0" applyNumberFormat="1" applyFont="1" applyFill="1" applyBorder="1" applyAlignment="1" applyProtection="1">
      <alignment horizontal="right" vertical="center" shrinkToFit="1"/>
      <protection hidden="1"/>
    </xf>
    <xf numFmtId="181" fontId="10" fillId="39" borderId="55" xfId="0" applyNumberFormat="1" applyFont="1" applyFill="1" applyBorder="1" applyAlignment="1" applyProtection="1">
      <alignment horizontal="center" vertical="center"/>
      <protection hidden="1"/>
    </xf>
    <xf numFmtId="181" fontId="10" fillId="39" borderId="29" xfId="0" applyNumberFormat="1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37" borderId="74" xfId="0" applyFont="1" applyFill="1" applyBorder="1" applyAlignment="1" applyProtection="1">
      <alignment horizontal="center" vertical="center"/>
      <protection hidden="1"/>
    </xf>
    <xf numFmtId="0" fontId="10" fillId="37" borderId="31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 shrinkToFi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44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7" xfId="0" applyFont="1" applyFill="1" applyBorder="1" applyAlignment="1" applyProtection="1">
      <alignment horizontal="center" vertical="center"/>
      <protection hidden="1"/>
    </xf>
    <xf numFmtId="176" fontId="10" fillId="0" borderId="44" xfId="0" applyNumberFormat="1" applyFont="1" applyFill="1" applyBorder="1" applyAlignment="1" applyProtection="1">
      <alignment horizontal="center" vertical="center"/>
      <protection hidden="1"/>
    </xf>
    <xf numFmtId="176" fontId="10" fillId="0" borderId="47" xfId="0" applyNumberFormat="1" applyFont="1" applyFill="1" applyBorder="1" applyAlignment="1" applyProtection="1">
      <alignment horizontal="center" vertical="center"/>
      <protection hidden="1"/>
    </xf>
    <xf numFmtId="0" fontId="10" fillId="37" borderId="75" xfId="0" applyFont="1" applyFill="1" applyBorder="1" applyAlignment="1" applyProtection="1">
      <alignment horizontal="center" vertical="center"/>
      <protection hidden="1"/>
    </xf>
    <xf numFmtId="0" fontId="10" fillId="38" borderId="31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4" xfId="0" applyFont="1" applyFill="1" applyBorder="1" applyAlignment="1" applyProtection="1">
      <alignment horizontal="left" vertical="center" shrinkToFit="1"/>
      <protection hidden="1"/>
    </xf>
    <xf numFmtId="0" fontId="10" fillId="0" borderId="73" xfId="0" applyFont="1" applyFill="1" applyBorder="1" applyAlignment="1" applyProtection="1">
      <alignment horizontal="left" vertical="center" shrinkToFit="1"/>
      <protection hidden="1"/>
    </xf>
    <xf numFmtId="0" fontId="10" fillId="38" borderId="7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6" fontId="10" fillId="0" borderId="0" xfId="0" applyNumberFormat="1" applyFont="1" applyAlignment="1" applyProtection="1">
      <alignment horizontal="center" vertical="center"/>
      <protection hidden="1"/>
    </xf>
    <xf numFmtId="0" fontId="32" fillId="0" borderId="66" xfId="0" applyFont="1" applyBorder="1" applyAlignment="1" applyProtection="1">
      <alignment horizontal="center" vertical="center"/>
      <protection hidden="1"/>
    </xf>
    <xf numFmtId="0" fontId="32" fillId="0" borderId="67" xfId="0" applyFont="1" applyBorder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10" fillId="0" borderId="55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59" xfId="0" applyFont="1" applyFill="1" applyBorder="1" applyAlignment="1" applyProtection="1">
      <alignment horizontal="center" vertical="center" shrinkToFit="1"/>
      <protection hidden="1"/>
    </xf>
    <xf numFmtId="176" fontId="10" fillId="0" borderId="29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63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72" xfId="0" applyNumberFormat="1" applyFont="1" applyFill="1" applyBorder="1" applyAlignment="1" applyProtection="1">
      <alignment horizontal="center" vertical="center" shrinkToFit="1"/>
      <protection hidden="1"/>
    </xf>
    <xf numFmtId="180" fontId="10" fillId="0" borderId="77" xfId="0" applyNumberFormat="1" applyFont="1" applyBorder="1" applyAlignment="1" applyProtection="1">
      <alignment horizontal="center" vertical="center" shrinkToFit="1"/>
      <protection hidden="1"/>
    </xf>
    <xf numFmtId="180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0" borderId="55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31" fillId="36" borderId="49" xfId="0" applyFont="1" applyFill="1" applyBorder="1" applyAlignment="1" applyProtection="1">
      <alignment horizontal="center" textRotation="90"/>
      <protection hidden="1"/>
    </xf>
    <xf numFmtId="0" fontId="31" fillId="36" borderId="21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10" fillId="0" borderId="28" xfId="0" applyFont="1" applyBorder="1" applyAlignment="1" applyProtection="1">
      <alignment horizontal="center" vertical="center" shrinkToFit="1"/>
      <protection hidden="1"/>
    </xf>
    <xf numFmtId="0" fontId="10" fillId="0" borderId="79" xfId="0" applyFont="1" applyBorder="1" applyAlignment="1" applyProtection="1">
      <alignment horizontal="center" vertical="center" shrinkToFit="1"/>
      <protection hidden="1"/>
    </xf>
    <xf numFmtId="0" fontId="31" fillId="36" borderId="39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10" fillId="32" borderId="31" xfId="0" applyFont="1" applyFill="1" applyBorder="1" applyAlignment="1" applyProtection="1">
      <alignment horizontal="center" vertical="center"/>
      <protection hidden="1"/>
    </xf>
    <xf numFmtId="0" fontId="31" fillId="36" borderId="50" xfId="0" applyFont="1" applyFill="1" applyBorder="1" applyAlignment="1" applyProtection="1">
      <alignment horizontal="center" textRotation="90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10" fillId="36" borderId="31" xfId="0" applyFont="1" applyFill="1" applyBorder="1" applyAlignment="1" applyProtection="1">
      <alignment horizontal="center" vertical="center" shrinkToFit="1"/>
      <protection hidden="1"/>
    </xf>
    <xf numFmtId="0" fontId="10" fillId="36" borderId="75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35" borderId="31" xfId="0" applyFont="1" applyFill="1" applyBorder="1" applyAlignment="1" applyProtection="1">
      <alignment horizontal="center" vertical="center" shrinkToFit="1"/>
      <protection hidden="1"/>
    </xf>
    <xf numFmtId="1" fontId="10" fillId="0" borderId="56" xfId="0" applyNumberFormat="1" applyFont="1" applyBorder="1" applyAlignment="1" applyProtection="1">
      <alignment horizontal="center" vertical="center" shrinkToFit="1"/>
      <protection hidden="1"/>
    </xf>
    <xf numFmtId="1" fontId="10" fillId="0" borderId="73" xfId="0" applyNumberFormat="1" applyFont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8" xfId="0" applyFont="1" applyFill="1" applyBorder="1" applyAlignment="1" applyProtection="1">
      <alignment horizontal="center" vertical="center" shrinkToFit="1"/>
      <protection hidden="1"/>
    </xf>
    <xf numFmtId="0" fontId="10" fillId="0" borderId="23" xfId="0" applyFont="1" applyBorder="1" applyAlignment="1" applyProtection="1">
      <alignment horizontal="center" vertical="center" shrinkToFit="1"/>
      <protection hidden="1"/>
    </xf>
    <xf numFmtId="1" fontId="10" fillId="0" borderId="55" xfId="0" applyNumberFormat="1" applyFont="1" applyBorder="1" applyAlignment="1" applyProtection="1">
      <alignment horizontal="center" vertical="center" shrinkToFit="1"/>
      <protection hidden="1"/>
    </xf>
    <xf numFmtId="1" fontId="10" fillId="0" borderId="29" xfId="0" applyNumberFormat="1" applyFont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8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81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29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3" xfId="0" applyFont="1" applyFill="1" applyBorder="1" applyAlignment="1" applyProtection="1">
      <alignment horizontal="left" vertical="center" shrinkToFit="1"/>
      <protection hidden="1"/>
    </xf>
    <xf numFmtId="0" fontId="31" fillId="35" borderId="49" xfId="0" applyFont="1" applyFill="1" applyBorder="1" applyAlignment="1" applyProtection="1">
      <alignment horizontal="center" textRotation="90"/>
      <protection hidden="1"/>
    </xf>
    <xf numFmtId="0" fontId="31" fillId="35" borderId="21" xfId="0" applyFont="1" applyFill="1" applyBorder="1" applyAlignment="1" applyProtection="1">
      <alignment horizontal="center" textRotation="90"/>
      <protection hidden="1"/>
    </xf>
    <xf numFmtId="0" fontId="31" fillId="35" borderId="50" xfId="0" applyFont="1" applyFill="1" applyBorder="1" applyAlignment="1" applyProtection="1">
      <alignment horizontal="center" textRotation="90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10" fillId="35" borderId="75" xfId="0" applyFont="1" applyFill="1" applyBorder="1" applyAlignment="1" applyProtection="1">
      <alignment horizontal="center" vertical="center" shrinkToFit="1"/>
      <protection hidden="1"/>
    </xf>
    <xf numFmtId="0" fontId="31" fillId="35" borderId="39" xfId="0" applyFont="1" applyFill="1" applyBorder="1" applyAlignment="1" applyProtection="1">
      <alignment horizontal="center" textRotation="90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10" fillId="0" borderId="65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2" xfId="0" applyFont="1" applyFill="1" applyBorder="1" applyAlignment="1" applyProtection="1">
      <alignment horizontal="left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56" xfId="0" applyFont="1" applyFill="1" applyBorder="1" applyAlignment="1" applyProtection="1">
      <alignment horizontal="center" vertical="center" shrinkToFit="1"/>
      <protection hidden="1"/>
    </xf>
    <xf numFmtId="181" fontId="10" fillId="0" borderId="73" xfId="0" applyNumberFormat="1" applyFont="1" applyFill="1" applyBorder="1" applyAlignment="1" applyProtection="1">
      <alignment horizontal="right" vertical="center" shrinkToFit="1"/>
      <protection hidden="1"/>
    </xf>
    <xf numFmtId="181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3" fontId="10" fillId="0" borderId="0" xfId="0" applyNumberFormat="1" applyFont="1" applyBorder="1" applyAlignment="1" applyProtection="1">
      <alignment horizontal="left" vertical="center"/>
      <protection hidden="1"/>
    </xf>
    <xf numFmtId="180" fontId="10" fillId="0" borderId="27" xfId="0" applyNumberFormat="1" applyFont="1" applyBorder="1" applyAlignment="1" applyProtection="1">
      <alignment horizontal="center" vertical="center" shrinkToFit="1"/>
      <protection hidden="1"/>
    </xf>
    <xf numFmtId="180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6" fontId="10" fillId="0" borderId="73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6" fontId="10" fillId="0" borderId="64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5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8" borderId="74" xfId="0" applyFont="1" applyFill="1" applyBorder="1" applyAlignment="1" applyProtection="1">
      <alignment horizontal="center" vertical="center"/>
      <protection hidden="1"/>
    </xf>
    <xf numFmtId="0" fontId="10" fillId="32" borderId="74" xfId="0" applyFont="1" applyFill="1" applyBorder="1" applyAlignment="1" applyProtection="1">
      <alignment horizontal="center" vertical="center"/>
      <protection hidden="1"/>
    </xf>
    <xf numFmtId="183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left" vertical="center" shrinkToFit="1"/>
      <protection hidden="1"/>
    </xf>
    <xf numFmtId="0" fontId="10" fillId="0" borderId="77" xfId="0" applyFont="1" applyBorder="1" applyAlignment="1" applyProtection="1">
      <alignment horizontal="left" vertical="center" shrinkToFit="1"/>
      <protection hidden="1"/>
    </xf>
    <xf numFmtId="186" fontId="14" fillId="0" borderId="0" xfId="0" applyNumberFormat="1" applyFont="1" applyAlignment="1" applyProtection="1">
      <alignment horizontal="center" vertical="center"/>
      <protection hidden="1"/>
    </xf>
    <xf numFmtId="0" fontId="10" fillId="34" borderId="74" xfId="0" applyFont="1" applyFill="1" applyBorder="1" applyAlignment="1" applyProtection="1">
      <alignment horizontal="center" vertical="center"/>
      <protection hidden="1"/>
    </xf>
    <xf numFmtId="0" fontId="10" fillId="34" borderId="31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75">
      <selection activeCell="AZ94" sqref="AZ94:BD94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78" t="s">
        <v>0</v>
      </c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77" t="s">
        <v>89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Z3" s="207" t="s">
        <v>63</v>
      </c>
      <c r="BA3" s="207"/>
      <c r="BB3" s="207"/>
      <c r="BC3" s="207"/>
      <c r="BD3" s="207"/>
      <c r="BE3" s="207"/>
      <c r="BF3" s="207"/>
      <c r="BG3" s="207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76" t="s">
        <v>67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9"/>
      <c r="AS6" s="279"/>
      <c r="AT6" s="279"/>
      <c r="AU6" s="279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75" t="s">
        <v>1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66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2" t="s">
        <v>64</v>
      </c>
      <c r="C11" s="202"/>
      <c r="D11" s="202"/>
      <c r="E11" s="202"/>
      <c r="F11" s="202"/>
      <c r="G11" s="202"/>
      <c r="H11" s="205">
        <v>0.4166666666666667</v>
      </c>
      <c r="I11" s="205"/>
      <c r="J11" s="205"/>
      <c r="K11" s="205"/>
      <c r="L11" s="17" t="s">
        <v>2</v>
      </c>
      <c r="T11" s="45" t="s">
        <v>3</v>
      </c>
      <c r="U11" s="206">
        <v>1</v>
      </c>
      <c r="V11" s="206"/>
      <c r="W11" s="46" t="s">
        <v>4</v>
      </c>
      <c r="X11" s="201">
        <v>10</v>
      </c>
      <c r="Y11" s="201"/>
      <c r="Z11" s="201"/>
      <c r="AA11" s="201"/>
      <c r="AB11" s="201"/>
      <c r="AC11" s="200">
        <f>IF(U11=2,"Halbzeit:","")</f>
      </c>
      <c r="AD11" s="200"/>
      <c r="AE11" s="200"/>
      <c r="AF11" s="200"/>
      <c r="AG11" s="200"/>
      <c r="AH11" s="200"/>
      <c r="AI11" s="201"/>
      <c r="AJ11" s="201"/>
      <c r="AK11" s="201"/>
      <c r="AL11" s="201"/>
      <c r="AM11" s="201"/>
      <c r="AN11" s="202" t="s">
        <v>5</v>
      </c>
      <c r="AO11" s="202"/>
      <c r="AP11" s="202"/>
      <c r="AQ11" s="202"/>
      <c r="AR11" s="202"/>
      <c r="AS11" s="202"/>
      <c r="AT11" s="202"/>
      <c r="AU11" s="202"/>
      <c r="AV11" s="202"/>
      <c r="AW11" s="203">
        <v>2</v>
      </c>
      <c r="AX11" s="203"/>
      <c r="AY11" s="203"/>
      <c r="AZ11" s="203"/>
      <c r="BA11" s="20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28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2" t="s">
        <v>64</v>
      </c>
      <c r="C14" s="202"/>
      <c r="D14" s="202"/>
      <c r="E14" s="202"/>
      <c r="F14" s="202"/>
      <c r="G14" s="202"/>
      <c r="H14" s="205">
        <v>0.5208333333333334</v>
      </c>
      <c r="I14" s="205"/>
      <c r="J14" s="205"/>
      <c r="K14" s="205"/>
      <c r="L14" s="17" t="s">
        <v>2</v>
      </c>
      <c r="T14" s="45" t="s">
        <v>3</v>
      </c>
      <c r="U14" s="206">
        <f>U11</f>
        <v>1</v>
      </c>
      <c r="V14" s="206"/>
      <c r="W14" s="46" t="s">
        <v>4</v>
      </c>
      <c r="X14" s="201">
        <f>X11</f>
        <v>10</v>
      </c>
      <c r="Y14" s="201"/>
      <c r="Z14" s="201"/>
      <c r="AA14" s="201"/>
      <c r="AB14" s="201"/>
      <c r="AC14" s="200">
        <f>IF(U14=2,"Halbzeit:","")</f>
      </c>
      <c r="AD14" s="200"/>
      <c r="AE14" s="200"/>
      <c r="AF14" s="200"/>
      <c r="AG14" s="200"/>
      <c r="AH14" s="200"/>
      <c r="AI14" s="204">
        <f>AI11</f>
        <v>0</v>
      </c>
      <c r="AJ14" s="204"/>
      <c r="AK14" s="204"/>
      <c r="AL14" s="204"/>
      <c r="AM14" s="204"/>
      <c r="AN14" s="202" t="s">
        <v>5</v>
      </c>
      <c r="AO14" s="202"/>
      <c r="AP14" s="202"/>
      <c r="AQ14" s="202"/>
      <c r="AR14" s="202"/>
      <c r="AS14" s="202"/>
      <c r="AT14" s="202"/>
      <c r="AU14" s="202"/>
      <c r="AV14" s="202"/>
      <c r="AW14" s="203">
        <f>AW11</f>
        <v>2</v>
      </c>
      <c r="AX14" s="203"/>
      <c r="AY14" s="203"/>
      <c r="AZ14" s="203"/>
      <c r="BA14" s="20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6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2" t="s">
        <v>7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4"/>
      <c r="AC18" s="329" t="s">
        <v>8</v>
      </c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1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198" t="s">
        <v>81</v>
      </c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56" t="s">
        <v>60</v>
      </c>
      <c r="AB19" s="117">
        <v>1</v>
      </c>
      <c r="AC19" s="198" t="s">
        <v>85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82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56" t="s">
        <v>61</v>
      </c>
      <c r="AB20" s="117">
        <v>2</v>
      </c>
      <c r="AC20" s="197" t="s">
        <v>86</v>
      </c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83</v>
      </c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56" t="s">
        <v>62</v>
      </c>
      <c r="AB21" s="117">
        <v>3</v>
      </c>
      <c r="AC21" s="197" t="s">
        <v>87</v>
      </c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199" t="s">
        <v>84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AB22" s="117">
        <v>4</v>
      </c>
      <c r="AC22" s="199" t="s">
        <v>88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10</v>
      </c>
    </row>
    <row r="25" s="22" customFormat="1" ht="18" customHeight="1" thickBot="1"/>
    <row r="26" spans="3:60" s="22" customFormat="1" ht="18" customHeight="1" thickBot="1">
      <c r="C26" s="319" t="s">
        <v>11</v>
      </c>
      <c r="D26" s="320"/>
      <c r="E26" s="299" t="s">
        <v>12</v>
      </c>
      <c r="F26" s="300"/>
      <c r="G26" s="321"/>
      <c r="H26" s="299" t="s">
        <v>65</v>
      </c>
      <c r="I26" s="300"/>
      <c r="J26" s="300"/>
      <c r="K26" s="321"/>
      <c r="L26" s="299" t="s">
        <v>13</v>
      </c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21"/>
      <c r="BC26" s="299" t="s">
        <v>14</v>
      </c>
      <c r="BD26" s="300"/>
      <c r="BE26" s="300"/>
      <c r="BF26" s="300"/>
      <c r="BG26" s="300"/>
      <c r="BH26" s="118"/>
    </row>
    <row r="27" spans="3:60" s="22" customFormat="1" ht="18" customHeight="1">
      <c r="C27" s="288">
        <v>1</v>
      </c>
      <c r="D27" s="289"/>
      <c r="E27" s="289" t="s">
        <v>15</v>
      </c>
      <c r="F27" s="289"/>
      <c r="G27" s="289"/>
      <c r="H27" s="395">
        <f>$H$11</f>
        <v>0.4166666666666667</v>
      </c>
      <c r="I27" s="396"/>
      <c r="J27" s="396"/>
      <c r="K27" s="397"/>
      <c r="L27" s="310" t="str">
        <f>$D$19</f>
        <v>FC Gütersloh</v>
      </c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120" t="s">
        <v>16</v>
      </c>
      <c r="AH27" s="282" t="str">
        <f>$D$20</f>
        <v>Spvg Steinhagen</v>
      </c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3"/>
      <c r="BC27" s="301">
        <v>1</v>
      </c>
      <c r="BD27" s="302"/>
      <c r="BE27" s="302"/>
      <c r="BF27" s="304">
        <v>1</v>
      </c>
      <c r="BG27" s="304"/>
      <c r="BH27" s="121"/>
    </row>
    <row r="28" spans="3:60" s="22" customFormat="1" ht="18" customHeight="1" thickBot="1">
      <c r="C28" s="286">
        <v>2</v>
      </c>
      <c r="D28" s="287"/>
      <c r="E28" s="287" t="s">
        <v>15</v>
      </c>
      <c r="F28" s="287"/>
      <c r="G28" s="287"/>
      <c r="H28" s="323">
        <f>H27+TEXT($U$11*($X$11/1440)+($AI$11/1440)+($AW$11/1440),"hh:mm")</f>
        <v>0.42500000000000004</v>
      </c>
      <c r="I28" s="324"/>
      <c r="J28" s="324"/>
      <c r="K28" s="325"/>
      <c r="L28" s="326" t="str">
        <f>$D$21</f>
        <v>SV Spexard</v>
      </c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109" t="s">
        <v>16</v>
      </c>
      <c r="AH28" s="280" t="str">
        <f>$D$22</f>
        <v>SCE Gütersloh</v>
      </c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1"/>
      <c r="BC28" s="219">
        <v>2</v>
      </c>
      <c r="BD28" s="220"/>
      <c r="BE28" s="220"/>
      <c r="BF28" s="217">
        <v>0</v>
      </c>
      <c r="BG28" s="218"/>
      <c r="BH28" s="121"/>
    </row>
    <row r="29" spans="3:60" s="22" customFormat="1" ht="18" customHeight="1">
      <c r="C29" s="290">
        <v>3</v>
      </c>
      <c r="D29" s="291"/>
      <c r="E29" s="291" t="s">
        <v>17</v>
      </c>
      <c r="F29" s="291"/>
      <c r="G29" s="291"/>
      <c r="H29" s="336">
        <f aca="true" t="shared" si="0" ref="H29:H37">H28+TEXT($U$11*($X$11/1440)+($AI$11/1440)+($AW$11/1440),"hh:mm")</f>
        <v>0.4333333333333334</v>
      </c>
      <c r="I29" s="337"/>
      <c r="J29" s="337"/>
      <c r="K29" s="338"/>
      <c r="L29" s="284" t="str">
        <f>$AC$19</f>
        <v>TuS Eintracht Bielefeld</v>
      </c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191" t="s">
        <v>16</v>
      </c>
      <c r="AH29" s="285" t="str">
        <f>$AC$20</f>
        <v>Herzebrocker SV</v>
      </c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305"/>
      <c r="BC29" s="221">
        <v>4</v>
      </c>
      <c r="BD29" s="222"/>
      <c r="BE29" s="222"/>
      <c r="BF29" s="303">
        <v>2</v>
      </c>
      <c r="BG29" s="303"/>
      <c r="BH29" s="121"/>
    </row>
    <row r="30" spans="3:60" s="22" customFormat="1" ht="18" customHeight="1" thickBot="1">
      <c r="C30" s="286">
        <v>4</v>
      </c>
      <c r="D30" s="287"/>
      <c r="E30" s="287" t="s">
        <v>17</v>
      </c>
      <c r="F30" s="287"/>
      <c r="G30" s="287"/>
      <c r="H30" s="323">
        <f t="shared" si="0"/>
        <v>0.44166666666666676</v>
      </c>
      <c r="I30" s="324"/>
      <c r="J30" s="324"/>
      <c r="K30" s="325"/>
      <c r="L30" s="326" t="str">
        <f>$AC$21</f>
        <v>FC Sürenheide</v>
      </c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109" t="s">
        <v>16</v>
      </c>
      <c r="AH30" s="280" t="str">
        <f>$AC$22</f>
        <v>FA Herringhausen-Eickum</v>
      </c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1"/>
      <c r="BC30" s="219">
        <v>0</v>
      </c>
      <c r="BD30" s="220"/>
      <c r="BE30" s="220"/>
      <c r="BF30" s="217">
        <v>2</v>
      </c>
      <c r="BG30" s="218"/>
      <c r="BH30" s="121"/>
    </row>
    <row r="31" spans="3:60" s="22" customFormat="1" ht="18" customHeight="1">
      <c r="C31" s="290">
        <v>5</v>
      </c>
      <c r="D31" s="291"/>
      <c r="E31" s="291" t="s">
        <v>15</v>
      </c>
      <c r="F31" s="291"/>
      <c r="G31" s="291"/>
      <c r="H31" s="336">
        <f t="shared" si="0"/>
        <v>0.4500000000000001</v>
      </c>
      <c r="I31" s="337"/>
      <c r="J31" s="337"/>
      <c r="K31" s="338"/>
      <c r="L31" s="284" t="str">
        <f>$D$20</f>
        <v>Spvg Steinhagen</v>
      </c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191" t="s">
        <v>16</v>
      </c>
      <c r="AH31" s="285" t="str">
        <f>$D$21</f>
        <v>SV Spexard</v>
      </c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305"/>
      <c r="BC31" s="221">
        <v>2</v>
      </c>
      <c r="BD31" s="222"/>
      <c r="BE31" s="222"/>
      <c r="BF31" s="303">
        <v>0</v>
      </c>
      <c r="BG31" s="303"/>
      <c r="BH31" s="121"/>
    </row>
    <row r="32" spans="3:60" s="22" customFormat="1" ht="18" customHeight="1" thickBot="1">
      <c r="C32" s="286">
        <v>6</v>
      </c>
      <c r="D32" s="287"/>
      <c r="E32" s="287" t="s">
        <v>15</v>
      </c>
      <c r="F32" s="287"/>
      <c r="G32" s="287"/>
      <c r="H32" s="323">
        <f t="shared" si="0"/>
        <v>0.4583333333333335</v>
      </c>
      <c r="I32" s="324"/>
      <c r="J32" s="324"/>
      <c r="K32" s="325"/>
      <c r="L32" s="326" t="str">
        <f>$D$22</f>
        <v>SCE Gütersloh</v>
      </c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109" t="s">
        <v>16</v>
      </c>
      <c r="AH32" s="280" t="str">
        <f>$D$19</f>
        <v>FC Gütersloh</v>
      </c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1"/>
      <c r="BC32" s="219">
        <v>1</v>
      </c>
      <c r="BD32" s="220"/>
      <c r="BE32" s="220"/>
      <c r="BF32" s="217">
        <v>1</v>
      </c>
      <c r="BG32" s="218"/>
      <c r="BH32" s="121"/>
    </row>
    <row r="33" spans="3:60" s="22" customFormat="1" ht="18" customHeight="1">
      <c r="C33" s="290">
        <v>7</v>
      </c>
      <c r="D33" s="291"/>
      <c r="E33" s="291" t="s">
        <v>17</v>
      </c>
      <c r="F33" s="291"/>
      <c r="G33" s="291"/>
      <c r="H33" s="336">
        <f t="shared" si="0"/>
        <v>0.46666666666666684</v>
      </c>
      <c r="I33" s="337"/>
      <c r="J33" s="337"/>
      <c r="K33" s="338"/>
      <c r="L33" s="284" t="str">
        <f>$AC$20</f>
        <v>Herzebrocker SV</v>
      </c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191" t="s">
        <v>16</v>
      </c>
      <c r="AH33" s="285" t="str">
        <f>$AC$21</f>
        <v>FC Sürenheide</v>
      </c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305"/>
      <c r="BC33" s="221">
        <v>0</v>
      </c>
      <c r="BD33" s="222"/>
      <c r="BE33" s="222"/>
      <c r="BF33" s="303">
        <v>1</v>
      </c>
      <c r="BG33" s="303"/>
      <c r="BH33" s="121"/>
    </row>
    <row r="34" spans="3:60" s="22" customFormat="1" ht="18" customHeight="1" thickBot="1">
      <c r="C34" s="286">
        <v>8</v>
      </c>
      <c r="D34" s="287"/>
      <c r="E34" s="287" t="s">
        <v>17</v>
      </c>
      <c r="F34" s="287"/>
      <c r="G34" s="287"/>
      <c r="H34" s="323">
        <f t="shared" si="0"/>
        <v>0.4750000000000002</v>
      </c>
      <c r="I34" s="324"/>
      <c r="J34" s="324"/>
      <c r="K34" s="325"/>
      <c r="L34" s="326" t="str">
        <f>$AC$22</f>
        <v>FA Herringhausen-Eickum</v>
      </c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109" t="s">
        <v>16</v>
      </c>
      <c r="AH34" s="280" t="str">
        <f>$AC$19</f>
        <v>TuS Eintracht Bielefeld</v>
      </c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1"/>
      <c r="BC34" s="219">
        <v>0</v>
      </c>
      <c r="BD34" s="220"/>
      <c r="BE34" s="220"/>
      <c r="BF34" s="217">
        <v>0</v>
      </c>
      <c r="BG34" s="218"/>
      <c r="BH34" s="121"/>
    </row>
    <row r="35" spans="3:60" s="22" customFormat="1" ht="18" customHeight="1">
      <c r="C35" s="290">
        <v>9</v>
      </c>
      <c r="D35" s="291"/>
      <c r="E35" s="291" t="s">
        <v>15</v>
      </c>
      <c r="F35" s="291"/>
      <c r="G35" s="291"/>
      <c r="H35" s="336">
        <f t="shared" si="0"/>
        <v>0.48333333333333356</v>
      </c>
      <c r="I35" s="337"/>
      <c r="J35" s="337"/>
      <c r="K35" s="338"/>
      <c r="L35" s="284" t="str">
        <f>$D$19</f>
        <v>FC Gütersloh</v>
      </c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191" t="s">
        <v>16</v>
      </c>
      <c r="AH35" s="285" t="str">
        <f>$D$21</f>
        <v>SV Spexard</v>
      </c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305"/>
      <c r="BC35" s="221">
        <v>1</v>
      </c>
      <c r="BD35" s="222"/>
      <c r="BE35" s="222"/>
      <c r="BF35" s="303">
        <v>0</v>
      </c>
      <c r="BG35" s="303"/>
      <c r="BH35" s="121"/>
    </row>
    <row r="36" spans="3:60" s="22" customFormat="1" ht="18" customHeight="1" thickBot="1">
      <c r="C36" s="286">
        <v>10</v>
      </c>
      <c r="D36" s="287"/>
      <c r="E36" s="287" t="s">
        <v>15</v>
      </c>
      <c r="F36" s="287"/>
      <c r="G36" s="287"/>
      <c r="H36" s="323">
        <f t="shared" si="0"/>
        <v>0.4916666666666669</v>
      </c>
      <c r="I36" s="324"/>
      <c r="J36" s="324"/>
      <c r="K36" s="325"/>
      <c r="L36" s="326" t="str">
        <f>$D$20</f>
        <v>Spvg Steinhagen</v>
      </c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109" t="s">
        <v>16</v>
      </c>
      <c r="AH36" s="280" t="str">
        <f>$D$22</f>
        <v>SCE Gütersloh</v>
      </c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1"/>
      <c r="BC36" s="219">
        <v>4</v>
      </c>
      <c r="BD36" s="220"/>
      <c r="BE36" s="220"/>
      <c r="BF36" s="217">
        <v>1</v>
      </c>
      <c r="BG36" s="218"/>
      <c r="BH36" s="121"/>
    </row>
    <row r="37" spans="3:60" s="22" customFormat="1" ht="18" customHeight="1">
      <c r="C37" s="290">
        <v>11</v>
      </c>
      <c r="D37" s="291"/>
      <c r="E37" s="291" t="s">
        <v>17</v>
      </c>
      <c r="F37" s="291"/>
      <c r="G37" s="291"/>
      <c r="H37" s="336">
        <f t="shared" si="0"/>
        <v>0.5000000000000002</v>
      </c>
      <c r="I37" s="337"/>
      <c r="J37" s="337"/>
      <c r="K37" s="338"/>
      <c r="L37" s="284" t="str">
        <f>$AC$19</f>
        <v>TuS Eintracht Bielefeld</v>
      </c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191" t="s">
        <v>16</v>
      </c>
      <c r="AH37" s="285" t="str">
        <f>$AC$21</f>
        <v>FC Sürenheide</v>
      </c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305"/>
      <c r="BC37" s="221">
        <v>4</v>
      </c>
      <c r="BD37" s="222"/>
      <c r="BE37" s="222"/>
      <c r="BF37" s="303">
        <v>0</v>
      </c>
      <c r="BG37" s="303"/>
      <c r="BH37" s="121"/>
    </row>
    <row r="38" spans="3:130" s="22" customFormat="1" ht="18" customHeight="1" thickBot="1">
      <c r="C38" s="286">
        <v>12</v>
      </c>
      <c r="D38" s="287"/>
      <c r="E38" s="287" t="s">
        <v>17</v>
      </c>
      <c r="F38" s="287"/>
      <c r="G38" s="287"/>
      <c r="H38" s="323">
        <f>H37+TEXT($U$11*($X$11/1440)+($AI$11/1440)+($AW$11/1440),"hh:mm")</f>
        <v>0.5083333333333335</v>
      </c>
      <c r="I38" s="324"/>
      <c r="J38" s="324"/>
      <c r="K38" s="325"/>
      <c r="L38" s="326" t="str">
        <f>$AC$20</f>
        <v>Herzebrocker SV</v>
      </c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109" t="s">
        <v>16</v>
      </c>
      <c r="AH38" s="280" t="str">
        <f>$AC$22</f>
        <v>FA Herringhausen-Eickum</v>
      </c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1"/>
      <c r="BC38" s="219">
        <v>0</v>
      </c>
      <c r="BD38" s="220"/>
      <c r="BE38" s="220"/>
      <c r="BF38" s="217">
        <v>6</v>
      </c>
      <c r="BG38" s="217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80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36" t="str">
        <f>M49</f>
        <v>Spvg Steinhagen</v>
      </c>
      <c r="AI41" s="237"/>
      <c r="AJ41" s="238"/>
      <c r="AK41" s="251" t="str">
        <f>M50</f>
        <v>FC Gütersloh</v>
      </c>
      <c r="AL41" s="237"/>
      <c r="AM41" s="238"/>
      <c r="AN41" s="251" t="str">
        <f>M51</f>
        <v>SV Spexard</v>
      </c>
      <c r="AO41" s="237"/>
      <c r="AP41" s="238"/>
      <c r="AQ41" s="251" t="str">
        <f>M52</f>
        <v>SCE Gütersloh</v>
      </c>
      <c r="AR41" s="237"/>
      <c r="AS41" s="252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39"/>
      <c r="AI42" s="240"/>
      <c r="AJ42" s="241"/>
      <c r="AK42" s="253"/>
      <c r="AL42" s="240"/>
      <c r="AM42" s="241"/>
      <c r="AN42" s="253"/>
      <c r="AO42" s="240"/>
      <c r="AP42" s="241"/>
      <c r="AQ42" s="253"/>
      <c r="AR42" s="240"/>
      <c r="AS42" s="254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39"/>
      <c r="AI43" s="240"/>
      <c r="AJ43" s="241"/>
      <c r="AK43" s="253"/>
      <c r="AL43" s="240"/>
      <c r="AM43" s="241"/>
      <c r="AN43" s="253"/>
      <c r="AO43" s="240"/>
      <c r="AP43" s="241"/>
      <c r="AQ43" s="253"/>
      <c r="AR43" s="240"/>
      <c r="AS43" s="254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39"/>
      <c r="AI44" s="240"/>
      <c r="AJ44" s="241"/>
      <c r="AK44" s="253"/>
      <c r="AL44" s="240"/>
      <c r="AM44" s="241"/>
      <c r="AN44" s="253"/>
      <c r="AO44" s="240"/>
      <c r="AP44" s="241"/>
      <c r="AQ44" s="253"/>
      <c r="AR44" s="240"/>
      <c r="AS44" s="254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39"/>
      <c r="AI45" s="240"/>
      <c r="AJ45" s="241"/>
      <c r="AK45" s="253"/>
      <c r="AL45" s="240"/>
      <c r="AM45" s="241"/>
      <c r="AN45" s="253"/>
      <c r="AO45" s="240"/>
      <c r="AP45" s="241"/>
      <c r="AQ45" s="253"/>
      <c r="AR45" s="240"/>
      <c r="AS45" s="254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39"/>
      <c r="AI46" s="240"/>
      <c r="AJ46" s="241"/>
      <c r="AK46" s="253"/>
      <c r="AL46" s="240"/>
      <c r="AM46" s="241"/>
      <c r="AN46" s="253"/>
      <c r="AO46" s="240"/>
      <c r="AP46" s="241"/>
      <c r="AQ46" s="253"/>
      <c r="AR46" s="240"/>
      <c r="AS46" s="254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3" t="s">
        <v>18</v>
      </c>
      <c r="D47" s="294"/>
      <c r="E47" s="294"/>
      <c r="F47" s="294"/>
      <c r="G47" s="294"/>
      <c r="H47" s="294"/>
      <c r="I47" s="295"/>
      <c r="AH47" s="239"/>
      <c r="AI47" s="240"/>
      <c r="AJ47" s="241"/>
      <c r="AK47" s="253"/>
      <c r="AL47" s="240"/>
      <c r="AM47" s="241"/>
      <c r="AN47" s="253"/>
      <c r="AO47" s="240"/>
      <c r="AP47" s="241"/>
      <c r="AQ47" s="253"/>
      <c r="AR47" s="240"/>
      <c r="AS47" s="254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96" t="s">
        <v>19</v>
      </c>
      <c r="D48" s="297"/>
      <c r="E48" s="297"/>
      <c r="F48" s="298"/>
      <c r="G48" s="296" t="s">
        <v>20</v>
      </c>
      <c r="H48" s="297"/>
      <c r="I48" s="298"/>
      <c r="K48" s="225" t="str">
        <f>IF(' '!L9=0,D18,IF(' '!B9&lt;&gt;' '!L9,"es liegen nicht alle Ergebnisse vor",D18))</f>
        <v>Gruppe A</v>
      </c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7"/>
      <c r="AH48" s="242"/>
      <c r="AI48" s="243"/>
      <c r="AJ48" s="244"/>
      <c r="AK48" s="255"/>
      <c r="AL48" s="243"/>
      <c r="AM48" s="244"/>
      <c r="AN48" s="255"/>
      <c r="AO48" s="243"/>
      <c r="AP48" s="244"/>
      <c r="AQ48" s="255"/>
      <c r="AR48" s="243"/>
      <c r="AS48" s="256"/>
      <c r="AT48" s="226" t="s">
        <v>21</v>
      </c>
      <c r="AU48" s="226"/>
      <c r="AV48" s="365"/>
      <c r="AW48" s="363" t="s">
        <v>22</v>
      </c>
      <c r="AX48" s="226"/>
      <c r="AY48" s="365"/>
      <c r="AZ48" s="363" t="s">
        <v>23</v>
      </c>
      <c r="BA48" s="226"/>
      <c r="BB48" s="365"/>
      <c r="BC48" s="363" t="s">
        <v>24</v>
      </c>
      <c r="BD48" s="226"/>
      <c r="BE48" s="365"/>
      <c r="BF48" s="364" t="s">
        <v>25</v>
      </c>
      <c r="BG48" s="364"/>
      <c r="BH48" s="364"/>
      <c r="BI48" s="364"/>
      <c r="BJ48" s="364"/>
      <c r="BK48" s="364" t="s">
        <v>26</v>
      </c>
      <c r="BL48" s="364"/>
      <c r="BM48" s="363"/>
      <c r="BN48" s="363" t="s">
        <v>27</v>
      </c>
      <c r="BO48" s="226"/>
      <c r="BP48" s="227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2"/>
      <c r="D49" s="292"/>
      <c r="E49" s="292"/>
      <c r="F49" s="292"/>
      <c r="G49" s="292"/>
      <c r="H49" s="292"/>
      <c r="I49" s="292"/>
      <c r="K49" s="234">
        <f>IF(' '!$L$9=0,"",1)</f>
        <v>1</v>
      </c>
      <c r="L49" s="235"/>
      <c r="M49" s="232" t="str">
        <f>IF(' '!$L$9=0,D19,VLOOKUP(' '!B5,' '!$C$5:$O$8,4,0))</f>
        <v>Spvg Steinhagen</v>
      </c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68"/>
      <c r="AI49" s="268"/>
      <c r="AJ49" s="269"/>
      <c r="AK49" s="266" t="str">
        <f>IF(AND(M49&amp;$AK$41=VLOOKUP(M49&amp;$AK$41,' '!$D$23:$H$46,1,0),VLOOKUP(M49&amp;$AK$41,' '!$D$23:$H$46,4,0)&lt;&gt;""),VLOOKUP(M49&amp;$AK$41,' '!$D$23:$H$46,4,0),VLOOKUP(M49&amp;$AK$41,' '!$D$23:$H$46,5,0))</f>
        <v>1:1</v>
      </c>
      <c r="AL49" s="266"/>
      <c r="AM49" s="266"/>
      <c r="AN49" s="266" t="str">
        <f>IF(AND(M49&amp;$AN$41=VLOOKUP(M49&amp;$AN$41,' '!$D$23:$H$46,1,0),VLOOKUP(M49&amp;$AN$41,' '!$D$23:$H$46,4,0)&lt;&gt;""),VLOOKUP(M49&amp;$AN$41,' '!$D$23:$H$46,4,0),VLOOKUP(M49&amp;$AN$41,' '!$D$23:$H$46,5,0))</f>
        <v>2:0</v>
      </c>
      <c r="AO49" s="266"/>
      <c r="AP49" s="266"/>
      <c r="AQ49" s="264" t="str">
        <f>IF(AND(M49&amp;$AQ$41=VLOOKUP(M49&amp;$AQ$41,' '!$D$23:$H$46,1,0),VLOOKUP(M49&amp;$AQ$41,' '!$D$23:$H$46,4,0)&lt;&gt;""),VLOOKUP(M49&amp;$AQ$41,' '!$D$23:$H$46,4,0),VLOOKUP(M49&amp;$AQ$41,' '!$D$23:$H$46,5,0))</f>
        <v>4:1</v>
      </c>
      <c r="AR49" s="265"/>
      <c r="AS49" s="265"/>
      <c r="AT49" s="265">
        <f>IF(' '!$L$9=0,"",VLOOKUP(' '!B5,' '!$C$5:$O$8,10,0))</f>
        <v>3</v>
      </c>
      <c r="AU49" s="265"/>
      <c r="AV49" s="358"/>
      <c r="AW49" s="266">
        <f>IF(' '!$L$9=0,"",VLOOKUP(' '!B5,' '!$C$5:$O$8,11,0))</f>
        <v>2</v>
      </c>
      <c r="AX49" s="266"/>
      <c r="AY49" s="266"/>
      <c r="AZ49" s="266">
        <f>IF(' '!$L$9=0,"",VLOOKUP(' '!B5,' '!$C$5:$O$8,12,0))</f>
        <v>1</v>
      </c>
      <c r="BA49" s="266"/>
      <c r="BB49" s="266"/>
      <c r="BC49" s="266">
        <f>IF(' '!$L$9=0,"",VLOOKUP(' '!B5,' '!$C$5:$O$8,13,0))</f>
        <v>0</v>
      </c>
      <c r="BD49" s="266"/>
      <c r="BE49" s="266"/>
      <c r="BF49" s="354">
        <f>IF(' '!$L$9=0,"",VLOOKUP(' '!B5,' '!$C$5:$O$8,5,0))</f>
        <v>7</v>
      </c>
      <c r="BG49" s="354"/>
      <c r="BH49" s="123" t="str">
        <f>IF(' '!$L$9=0,"",":")</f>
        <v>:</v>
      </c>
      <c r="BI49" s="355">
        <f>IF(' '!$L$9=0,"",VLOOKUP(' '!B5,' '!$C$5:$O$8,6,0))</f>
        <v>2</v>
      </c>
      <c r="BJ49" s="266"/>
      <c r="BK49" s="366">
        <f>IF(' '!$L$9=0,"",BF49-BI49)</f>
        <v>5</v>
      </c>
      <c r="BL49" s="366"/>
      <c r="BM49" s="367"/>
      <c r="BN49" s="266">
        <f>IF(' '!$L$9=0,"",VLOOKUP(' '!B5,' '!$C$5:$O$8,7,0))</f>
        <v>7</v>
      </c>
      <c r="BO49" s="266"/>
      <c r="BP49" s="264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2"/>
      <c r="D50" s="292"/>
      <c r="E50" s="292"/>
      <c r="F50" s="292"/>
      <c r="G50" s="292"/>
      <c r="H50" s="292"/>
      <c r="I50" s="292"/>
      <c r="K50" s="359">
        <f>IF(' '!$L$9=0,"",IF(VLOOKUP(' '!B6,' '!$C$5:$E$8,3,0)=MAX(K$49:K49),"",' '!B6))</f>
        <v>2</v>
      </c>
      <c r="L50" s="360"/>
      <c r="M50" s="230" t="str">
        <f>IF(' '!$L$9=0,D20,VLOOKUP(' '!B6,' '!$C$5:$O$8,4,0))</f>
        <v>FC Gütersloh</v>
      </c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61" t="str">
        <f>IF(AND(M50&amp;$AH$41=VLOOKUP(M50&amp;$AH$41,' '!$D$23:$H$46,1,0),VLOOKUP(M50&amp;$AH$41,' '!$D$23:$H$46,4,0)&lt;&gt;""),VLOOKUP(M50&amp;$AH$41,' '!$D$23:$H$46,4,0),VLOOKUP(M50&amp;$AH$41,' '!$D$23:$H$46,5,0))</f>
        <v>1:1</v>
      </c>
      <c r="AI50" s="261"/>
      <c r="AJ50" s="267"/>
      <c r="AK50" s="259"/>
      <c r="AL50" s="259"/>
      <c r="AM50" s="259"/>
      <c r="AN50" s="258" t="str">
        <f>IF(AND(M50&amp;$AN$41=VLOOKUP(M50&amp;$AN$41,' '!$D$23:$H$46,1,0),VLOOKUP(M50&amp;$AN$41,' '!$D$23:$H$46,4,0)&lt;&gt;""),VLOOKUP(M50&amp;$AN$41,' '!$D$23:$H$46,4,0),VLOOKUP(M50&amp;$AN$41,' '!$D$23:$H$46,5,0))</f>
        <v>1:0</v>
      </c>
      <c r="AO50" s="258"/>
      <c r="AP50" s="258"/>
      <c r="AQ50" s="260" t="str">
        <f>IF(AND(M50&amp;$AQ$41=VLOOKUP(M50&amp;$AQ$41,' '!$D$23:$H$46,1,0),VLOOKUP(M50&amp;$AQ$41,' '!$D$23:$H$46,4,0)&lt;&gt;""),VLOOKUP(M50&amp;$AQ$41,' '!$D$23:$H$46,4,0),VLOOKUP(M50&amp;$AQ$41,' '!$D$23:$H$46,5,0))</f>
        <v>1:1</v>
      </c>
      <c r="AR50" s="261"/>
      <c r="AS50" s="261"/>
      <c r="AT50" s="261">
        <f>IF(' '!$L$9=0,"",VLOOKUP(' '!B6,' '!$C$5:$O$8,10,0))</f>
        <v>3</v>
      </c>
      <c r="AU50" s="261"/>
      <c r="AV50" s="267"/>
      <c r="AW50" s="258">
        <f>IF(' '!$L$9=0,"",VLOOKUP(' '!B6,' '!$C$5:$O$8,11,0))</f>
        <v>1</v>
      </c>
      <c r="AX50" s="258"/>
      <c r="AY50" s="258"/>
      <c r="AZ50" s="258">
        <f>IF(' '!$L$9=0,"",VLOOKUP(' '!B6,' '!$C$5:$O$8,12,0))</f>
        <v>2</v>
      </c>
      <c r="BA50" s="258"/>
      <c r="BB50" s="258"/>
      <c r="BC50" s="258">
        <f>IF(' '!$L$9=0,"",VLOOKUP(' '!B6,' '!$C$5:$O$8,13,0))</f>
        <v>0</v>
      </c>
      <c r="BD50" s="258"/>
      <c r="BE50" s="258"/>
      <c r="BF50" s="345">
        <f>IF(' '!$L$9=0,"",VLOOKUP(' '!B6,' '!$C$5:$O$8,5,0))</f>
        <v>3</v>
      </c>
      <c r="BG50" s="345"/>
      <c r="BH50" s="124" t="str">
        <f>IF(' '!$L$9=0,"",":")</f>
        <v>:</v>
      </c>
      <c r="BI50" s="341">
        <f>IF(' '!$L$9=0,"",VLOOKUP(' '!B6,' '!$C$5:$O$8,6,0))</f>
        <v>2</v>
      </c>
      <c r="BJ50" s="258"/>
      <c r="BK50" s="342">
        <f>IF(' '!$L$9=0,"",BF50-BI50)</f>
        <v>1</v>
      </c>
      <c r="BL50" s="342"/>
      <c r="BM50" s="343"/>
      <c r="BN50" s="258">
        <f>IF(' '!$L$9=0,"",VLOOKUP(' '!B6,' '!$C$5:$O$8,7,0))</f>
        <v>5</v>
      </c>
      <c r="BO50" s="258"/>
      <c r="BP50" s="260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2"/>
      <c r="D51" s="292"/>
      <c r="E51" s="292"/>
      <c r="F51" s="292"/>
      <c r="G51" s="292"/>
      <c r="H51" s="292"/>
      <c r="I51" s="292"/>
      <c r="K51" s="359">
        <f>IF(' '!$L$9=0,"",IF(VLOOKUP(' '!B7,' '!$C$5:$E$8,3,0)=MAX(K$49:K50),"",' '!B7))</f>
        <v>3</v>
      </c>
      <c r="L51" s="360"/>
      <c r="M51" s="230" t="str">
        <f>IF(' '!$L$9=0,D21,VLOOKUP(' '!B7,' '!$C$5:$O$8,4,0))</f>
        <v>SV Spexard</v>
      </c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61" t="str">
        <f>IF(AND(M51&amp;$AH$41=VLOOKUP(M51&amp;$AH$41,' '!$D$23:$H$46,1,0),VLOOKUP(M51&amp;$AH$41,' '!$D$23:$H$46,4,0)&lt;&gt;""),VLOOKUP(M51&amp;$AH$41,' '!$D$23:$H$46,4,0),VLOOKUP(M51&amp;$AH$41,' '!$D$23:$H$46,5,0))</f>
        <v>0:2</v>
      </c>
      <c r="AI51" s="261"/>
      <c r="AJ51" s="267"/>
      <c r="AK51" s="258" t="str">
        <f>IF(AND(M51&amp;$AK$41=VLOOKUP(M51&amp;$AK$41,' '!$D$23:$H$46,1,0),VLOOKUP(M51&amp;$AK$41,' '!$D$23:$H$46,4,0)&lt;&gt;""),VLOOKUP(M51&amp;$AK$41,' '!$D$23:$H$46,4,0),VLOOKUP(M51&amp;$AK$41,' '!$D$23:$H$46,5,0))</f>
        <v>0:1</v>
      </c>
      <c r="AL51" s="258"/>
      <c r="AM51" s="258"/>
      <c r="AN51" s="259"/>
      <c r="AO51" s="259"/>
      <c r="AP51" s="259"/>
      <c r="AQ51" s="260" t="str">
        <f>IF(AND(M51&amp;$AQ$41=VLOOKUP(M51&amp;$AQ$41,' '!$D$23:$H$46,1,0),VLOOKUP(M51&amp;$AQ$41,' '!$D$23:$H$46,4,0)&lt;&gt;""),VLOOKUP(M51&amp;$AQ$41,' '!$D$23:$H$46,4,0),VLOOKUP(M51&amp;$AQ$41,' '!$D$23:$H$46,5,0))</f>
        <v>2:0</v>
      </c>
      <c r="AR51" s="261"/>
      <c r="AS51" s="261"/>
      <c r="AT51" s="261">
        <f>IF(' '!$L$9=0,"",VLOOKUP(' '!B7,' '!$C$5:$O$8,10,0))</f>
        <v>3</v>
      </c>
      <c r="AU51" s="261"/>
      <c r="AV51" s="267"/>
      <c r="AW51" s="258">
        <f>IF(' '!$L$9=0,"",VLOOKUP(' '!B7,' '!$C$5:$O$8,11,0))</f>
        <v>1</v>
      </c>
      <c r="AX51" s="258"/>
      <c r="AY51" s="258"/>
      <c r="AZ51" s="258">
        <f>IF(' '!$L$9=0,"",VLOOKUP(' '!B7,' '!$C$5:$O$8,12,0))</f>
        <v>0</v>
      </c>
      <c r="BA51" s="258"/>
      <c r="BB51" s="258"/>
      <c r="BC51" s="258">
        <f>IF(' '!$L$9=0,"",VLOOKUP(' '!B7,' '!$C$5:$O$8,13,0))</f>
        <v>2</v>
      </c>
      <c r="BD51" s="258"/>
      <c r="BE51" s="258"/>
      <c r="BF51" s="345">
        <f>IF(' '!$L$9=0,"",VLOOKUP(' '!B7,' '!$C$5:$O$8,5,0))</f>
        <v>2</v>
      </c>
      <c r="BG51" s="345"/>
      <c r="BH51" s="124" t="str">
        <f>IF(' '!$L$9=0,"",":")</f>
        <v>:</v>
      </c>
      <c r="BI51" s="341">
        <f>IF(' '!$L$9=0,"",VLOOKUP(' '!B7,' '!$C$5:$O$8,6,0))</f>
        <v>3</v>
      </c>
      <c r="BJ51" s="258"/>
      <c r="BK51" s="342">
        <f>IF(' '!$L$9=0,"",BF51-BI51)</f>
        <v>-1</v>
      </c>
      <c r="BL51" s="342"/>
      <c r="BM51" s="343"/>
      <c r="BN51" s="258">
        <f>IF(' '!$L$9=0,"",VLOOKUP(' '!B7,' '!$C$5:$O$8,7,0))</f>
        <v>3</v>
      </c>
      <c r="BO51" s="258"/>
      <c r="BP51" s="260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2"/>
      <c r="D52" s="292"/>
      <c r="E52" s="292"/>
      <c r="F52" s="292"/>
      <c r="G52" s="292"/>
      <c r="H52" s="292"/>
      <c r="I52" s="292"/>
      <c r="K52" s="356">
        <f>IF(' '!$L$9=0,"",IF(VLOOKUP(' '!B8,' '!$C$5:$E$8,3,0)=MAX(K$49:K51),"",' '!B8))</f>
        <v>4</v>
      </c>
      <c r="L52" s="357"/>
      <c r="M52" s="228" t="str">
        <f>IF(' '!$L$9=0,D22,VLOOKUP(' '!B8,' '!$C$5:$O$8,4,0))</f>
        <v>SCE Gütersloh</v>
      </c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70" t="str">
        <f>IF(AND(M52&amp;$AH$41=VLOOKUP(M52&amp;$AH$41,' '!$D$23:$H$46,1,0),VLOOKUP(M52&amp;$AH$41,' '!$D$23:$H$46,4,0)&lt;&gt;""),VLOOKUP(M52&amp;$AH$41,' '!$D$23:$H$46,4,0),VLOOKUP(M52&amp;$AH$41,' '!$D$23:$H$46,5,0))</f>
        <v>1:4</v>
      </c>
      <c r="AI52" s="270"/>
      <c r="AJ52" s="271"/>
      <c r="AK52" s="257" t="str">
        <f>IF(AND(M52&amp;$AK$41=VLOOKUP(M52&amp;$AK$41,' '!$D$23:$H$46,1,0),VLOOKUP(M52&amp;$AK$41,' '!$D$23:$H$46,4,0)&lt;&gt;""),VLOOKUP(M52&amp;$AK$41,' '!$D$23:$H$46,4,0),VLOOKUP(M52&amp;$AK$41,' '!$D$23:$H$46,5,0))</f>
        <v>1:1</v>
      </c>
      <c r="AL52" s="257"/>
      <c r="AM52" s="257"/>
      <c r="AN52" s="257" t="str">
        <f>IF(AND(M52&amp;$AN$41=VLOOKUP(M52&amp;$AN$41,' '!$D$23:$H$46,1,0),VLOOKUP(M52&amp;$AN$41,' '!$D$23:$H$46,4,0)&lt;&gt;""),VLOOKUP(M52&amp;$AN$41,' '!$D$23:$H$46,4,0),VLOOKUP(M52&amp;$AN$41,' '!$D$23:$H$46,5,0))</f>
        <v>0:2</v>
      </c>
      <c r="AO52" s="257"/>
      <c r="AP52" s="257"/>
      <c r="AQ52" s="262"/>
      <c r="AR52" s="263"/>
      <c r="AS52" s="263"/>
      <c r="AT52" s="270">
        <f>IF(' '!$L$9=0,"",VLOOKUP(' '!B8,' '!$C$5:$O$8,10,0))</f>
        <v>3</v>
      </c>
      <c r="AU52" s="270"/>
      <c r="AV52" s="271"/>
      <c r="AW52" s="257">
        <f>IF(' '!$L$9=0,"",VLOOKUP(' '!B8,' '!$C$5:$O$8,11,0))</f>
        <v>0</v>
      </c>
      <c r="AX52" s="257"/>
      <c r="AY52" s="257"/>
      <c r="AZ52" s="257">
        <f>IF(' '!$L$9=0,"",VLOOKUP(' '!B8,' '!$C$5:$O$8,12,0))</f>
        <v>1</v>
      </c>
      <c r="BA52" s="257"/>
      <c r="BB52" s="257"/>
      <c r="BC52" s="257">
        <f>IF(' '!$L$9=0,"",VLOOKUP(' '!B8,' '!$C$5:$O$8,13,0))</f>
        <v>2</v>
      </c>
      <c r="BD52" s="257"/>
      <c r="BE52" s="257"/>
      <c r="BF52" s="351">
        <f>IF(' '!$L$9=0,"",VLOOKUP(' '!B8,' '!$C$5:$O$8,5,0))</f>
        <v>2</v>
      </c>
      <c r="BG52" s="351"/>
      <c r="BH52" s="125" t="str">
        <f>IF(' '!$L$9=0,"",":")</f>
        <v>:</v>
      </c>
      <c r="BI52" s="352">
        <f>IF(' '!$L$9=0,"",VLOOKUP(' '!B8,' '!$C$5:$O$8,6,0))</f>
        <v>7</v>
      </c>
      <c r="BJ52" s="257"/>
      <c r="BK52" s="370">
        <f>IF(' '!$L$9=0,"",BF52-BI52)</f>
        <v>-5</v>
      </c>
      <c r="BL52" s="370"/>
      <c r="BM52" s="371"/>
      <c r="BN52" s="257">
        <f>IF(' '!$L$9=0,"",VLOOKUP(' '!B8,' '!$C$5:$O$8,7,0))</f>
        <v>1</v>
      </c>
      <c r="BO52" s="257"/>
      <c r="BP52" s="368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2" t="str">
        <f>M62</f>
        <v>FA Herringhausen-Eickum</v>
      </c>
      <c r="AI54" s="245"/>
      <c r="AJ54" s="245"/>
      <c r="AK54" s="245" t="str">
        <f>M63</f>
        <v>TuS Eintracht Bielefeld</v>
      </c>
      <c r="AL54" s="245"/>
      <c r="AM54" s="245"/>
      <c r="AN54" s="245" t="str">
        <f>M64</f>
        <v>FC Sürenheide</v>
      </c>
      <c r="AO54" s="245"/>
      <c r="AP54" s="245"/>
      <c r="AQ54" s="245" t="str">
        <f>M65</f>
        <v>Herzebrocker SV</v>
      </c>
      <c r="AR54" s="245"/>
      <c r="AS54" s="24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3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8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3"/>
      <c r="AI56" s="247"/>
      <c r="AJ56" s="247"/>
      <c r="AK56" s="247"/>
      <c r="AL56" s="247"/>
      <c r="AM56" s="247"/>
      <c r="AN56" s="247"/>
      <c r="AO56" s="247"/>
      <c r="AP56" s="247"/>
      <c r="AQ56" s="247"/>
      <c r="AR56" s="247"/>
      <c r="AS56" s="248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3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8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3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8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3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8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3" t="s">
        <v>18</v>
      </c>
      <c r="D60" s="294"/>
      <c r="E60" s="294"/>
      <c r="F60" s="294"/>
      <c r="G60" s="294"/>
      <c r="H60" s="294"/>
      <c r="I60" s="295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3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8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96" t="s">
        <v>19</v>
      </c>
      <c r="D61" s="297"/>
      <c r="E61" s="297"/>
      <c r="F61" s="298"/>
      <c r="G61" s="296" t="s">
        <v>20</v>
      </c>
      <c r="H61" s="297"/>
      <c r="I61" s="298"/>
      <c r="K61" s="382" t="str">
        <f>IF(' '!L18=0,AC18,IF(' '!B18&lt;&gt;' '!L18,"es liegen nicht alle Ergebnisse vor",AC18))</f>
        <v>Gruppe B</v>
      </c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4"/>
      <c r="AH61" s="274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50"/>
      <c r="AT61" s="361" t="s">
        <v>21</v>
      </c>
      <c r="AU61" s="349"/>
      <c r="AV61" s="349"/>
      <c r="AW61" s="349" t="s">
        <v>22</v>
      </c>
      <c r="AX61" s="349"/>
      <c r="AY61" s="349"/>
      <c r="AZ61" s="349" t="s">
        <v>23</v>
      </c>
      <c r="BA61" s="349"/>
      <c r="BB61" s="349"/>
      <c r="BC61" s="349" t="s">
        <v>24</v>
      </c>
      <c r="BD61" s="349"/>
      <c r="BE61" s="349"/>
      <c r="BF61" s="349" t="s">
        <v>25</v>
      </c>
      <c r="BG61" s="349"/>
      <c r="BH61" s="349"/>
      <c r="BI61" s="349"/>
      <c r="BJ61" s="349"/>
      <c r="BK61" s="349" t="s">
        <v>26</v>
      </c>
      <c r="BL61" s="349"/>
      <c r="BM61" s="372"/>
      <c r="BN61" s="349" t="s">
        <v>27</v>
      </c>
      <c r="BO61" s="349"/>
      <c r="BP61" s="369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2"/>
      <c r="D62" s="292"/>
      <c r="E62" s="292"/>
      <c r="F62" s="292"/>
      <c r="G62" s="292"/>
      <c r="H62" s="292"/>
      <c r="I62" s="292"/>
      <c r="K62" s="234">
        <f>IF(' '!$L$18=0,"",1)</f>
        <v>1</v>
      </c>
      <c r="L62" s="235"/>
      <c r="M62" s="232" t="str">
        <f>IF(' '!$L$18=0,AC19,VLOOKUP(' '!B14,' '!$C$14:$O$17,4,0))</f>
        <v>FA Herringhausen-Eickum</v>
      </c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68"/>
      <c r="AI62" s="268"/>
      <c r="AJ62" s="269"/>
      <c r="AK62" s="266" t="str">
        <f>IF(AND(M62&amp;$AK$54=VLOOKUP(M62&amp;$AK$54,' '!$D$23:$H$46,1,0),VLOOKUP(M62&amp;$AK$54,' '!$D$23:$H$46,4,0)&lt;&gt;""),VLOOKUP(M62&amp;$AK$54,' '!$D$23:$H$46,4,0),VLOOKUP(M62&amp;$AK$54,' '!$D$23:$H$46,5,0))</f>
        <v>0:0</v>
      </c>
      <c r="AL62" s="266"/>
      <c r="AM62" s="266"/>
      <c r="AN62" s="266" t="str">
        <f>IF(AND(M62&amp;$AN$54=VLOOKUP(M62&amp;$AN$54,' '!$D$23:$H$46,1,0),VLOOKUP(M62&amp;$AN$54,' '!$D$23:$H$46,4,0)&lt;&gt;""),VLOOKUP(M62&amp;$AN$54,' '!$D$23:$H$46,4,0),VLOOKUP(M62&amp;$AN$54,' '!$D$23:$H$46,5,0))</f>
        <v>2:0</v>
      </c>
      <c r="AO62" s="266"/>
      <c r="AP62" s="266"/>
      <c r="AQ62" s="264" t="str">
        <f>IF(AND(M62&amp;$AQ$54=VLOOKUP(M62&amp;$AQ$54,' '!$D$23:$H$46,1,0),VLOOKUP(M62&amp;$AQ$54,' '!$D$23:$H$46,4,0)&lt;&gt;""),VLOOKUP(M62&amp;$AQ$54,' '!$D$23:$H$46,4,0),VLOOKUP(M62&amp;$AQ$54,' '!$D$23:$H$46,5,0))</f>
        <v>6:0</v>
      </c>
      <c r="AR62" s="265"/>
      <c r="AS62" s="265"/>
      <c r="AT62" s="265">
        <f>IF(' '!$L$18=0,"",VLOOKUP(' '!B14,' '!$C$14:$O$17,10,0))</f>
        <v>3</v>
      </c>
      <c r="AU62" s="265"/>
      <c r="AV62" s="358"/>
      <c r="AW62" s="353">
        <f>IF(' '!$L$18=0,"",VLOOKUP(' '!B14,' '!$C$14:$O$17,11,0))</f>
        <v>2</v>
      </c>
      <c r="AX62" s="354"/>
      <c r="AY62" s="355"/>
      <c r="AZ62" s="353">
        <f>IF(' '!$L$18=0,"",VLOOKUP(' '!B14,' '!$C$14:$O$17,12,0))</f>
        <v>1</v>
      </c>
      <c r="BA62" s="354"/>
      <c r="BB62" s="355"/>
      <c r="BC62" s="353">
        <f>IF(' '!$L$18=0,"",VLOOKUP(' '!B14,' '!$C$14:$O$17,13,0))</f>
        <v>0</v>
      </c>
      <c r="BD62" s="354"/>
      <c r="BE62" s="355"/>
      <c r="BF62" s="354">
        <f>IF(' '!$L$18=0,"",VLOOKUP(' '!B14,' '!$C$14:$O$17,5,0))</f>
        <v>8</v>
      </c>
      <c r="BG62" s="354"/>
      <c r="BH62" s="123" t="str">
        <f>IF(' '!$L$18=0,"",":")</f>
        <v>:</v>
      </c>
      <c r="BI62" s="355">
        <f>IF(' '!$L$18=0,"",VLOOKUP(' '!B14,' '!$C$14:$O$17,6,0))</f>
        <v>0</v>
      </c>
      <c r="BJ62" s="266"/>
      <c r="BK62" s="366">
        <f>IF(' '!$L$18=0,"",BF62-BI62)</f>
        <v>8</v>
      </c>
      <c r="BL62" s="366"/>
      <c r="BM62" s="367"/>
      <c r="BN62" s="353">
        <f>IF(' '!$L$18=0,"",VLOOKUP(' '!B14,' '!$C$14:$O$17,7,0))</f>
        <v>7</v>
      </c>
      <c r="BO62" s="354"/>
      <c r="BP62" s="362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2"/>
      <c r="D63" s="292"/>
      <c r="E63" s="292"/>
      <c r="F63" s="292"/>
      <c r="G63" s="292"/>
      <c r="H63" s="292"/>
      <c r="I63" s="292"/>
      <c r="J63" s="21"/>
      <c r="K63" s="359">
        <f>IF(' '!$L$18=0,"",IF(VLOOKUP(' '!B15,' '!$C$14:$E$17,3,0)=MAX(K$62:K62),"",' '!B15))</f>
        <v>2</v>
      </c>
      <c r="L63" s="360"/>
      <c r="M63" s="230" t="str">
        <f>IF(' '!$L$18=0,AC20,VLOOKUP(' '!B15,' '!$C$14:$O$17,4,0))</f>
        <v>TuS Eintracht Bielefeld</v>
      </c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61" t="str">
        <f>IF(AND(M63&amp;$AH$54=VLOOKUP(M63&amp;$AH$54,' '!$D$23:$H$46,1,0),VLOOKUP(M63&amp;$AH$54,' '!$D$23:$H$46,4,0)&lt;&gt;""),VLOOKUP(M63&amp;$AH$54,' '!$D$23:$H$46,4,0),VLOOKUP(M63&amp;$AH$54,' '!$D$23:$H$46,5,0))</f>
        <v>0:0</v>
      </c>
      <c r="AI63" s="261"/>
      <c r="AJ63" s="267"/>
      <c r="AK63" s="259"/>
      <c r="AL63" s="259"/>
      <c r="AM63" s="259"/>
      <c r="AN63" s="258" t="str">
        <f>IF(AND(M63&amp;$AN$54=VLOOKUP(M63&amp;$AN$54,' '!$D$23:$H$46,1,0),VLOOKUP(M63&amp;$AN$54,' '!$D$23:$H$46,4,0)&lt;&gt;""),VLOOKUP(M63&amp;$AN$54,' '!$D$23:$H$46,4,0),VLOOKUP(M63&amp;$AN$54,' '!$D$23:$H$46,5,0))</f>
        <v>4:0</v>
      </c>
      <c r="AO63" s="258"/>
      <c r="AP63" s="258"/>
      <c r="AQ63" s="260" t="str">
        <f>IF(AND(M63&amp;$AQ$54=VLOOKUP(M63&amp;$AQ$54,' '!$D$23:$H$46,1,0),VLOOKUP(M63&amp;$AQ$54,' '!$D$23:$H$46,4,0)&lt;&gt;""),VLOOKUP(M63&amp;$AQ$54,' '!$D$23:$H$46,4,0),VLOOKUP(M63&amp;$AQ$54,' '!$D$23:$H$46,5,0))</f>
        <v>4:2</v>
      </c>
      <c r="AR63" s="261"/>
      <c r="AS63" s="261"/>
      <c r="AT63" s="261">
        <f>IF(' '!$L$18=0,"",VLOOKUP(' '!B15,' '!$C$14:$O$17,10,0))</f>
        <v>3</v>
      </c>
      <c r="AU63" s="261"/>
      <c r="AV63" s="267"/>
      <c r="AW63" s="344">
        <f>IF(' '!$L$18=0,"",VLOOKUP(' '!B15,' '!$C$14:$O$17,11,0))</f>
        <v>2</v>
      </c>
      <c r="AX63" s="345"/>
      <c r="AY63" s="341"/>
      <c r="AZ63" s="344">
        <f>IF(' '!$L$18=0,"",VLOOKUP(' '!B15,' '!$C$14:$O$17,12,0))</f>
        <v>1</v>
      </c>
      <c r="BA63" s="345"/>
      <c r="BB63" s="341"/>
      <c r="BC63" s="344">
        <f>IF(' '!$L$18=0,"",VLOOKUP(' '!B15,' '!$C$14:$O$17,13,0))</f>
        <v>0</v>
      </c>
      <c r="BD63" s="345"/>
      <c r="BE63" s="341"/>
      <c r="BF63" s="345">
        <f>IF(' '!$L$18=0,"",VLOOKUP(' '!B15,' '!$C$14:$O$17,5,0))</f>
        <v>8</v>
      </c>
      <c r="BG63" s="345"/>
      <c r="BH63" s="124" t="str">
        <f>IF(' '!$L$18=0,"",":")</f>
        <v>:</v>
      </c>
      <c r="BI63" s="341">
        <f>IF(' '!$L$18=0,"",VLOOKUP(' '!B15,' '!$C$14:$O$17,6,0))</f>
        <v>2</v>
      </c>
      <c r="BJ63" s="258"/>
      <c r="BK63" s="342">
        <f>IF(' '!$L$18=0,"",BF63-BI63)</f>
        <v>6</v>
      </c>
      <c r="BL63" s="342"/>
      <c r="BM63" s="343"/>
      <c r="BN63" s="344">
        <f>IF(' '!$L$18=0,"",VLOOKUP(' '!B15,' '!$C$14:$O$17,7,0))</f>
        <v>7</v>
      </c>
      <c r="BO63" s="345"/>
      <c r="BP63" s="374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2"/>
      <c r="D64" s="292"/>
      <c r="E64" s="292"/>
      <c r="F64" s="292"/>
      <c r="G64" s="292"/>
      <c r="H64" s="292"/>
      <c r="I64" s="292"/>
      <c r="K64" s="359">
        <f>IF(' '!$L$18=0,"",IF(VLOOKUP(' '!B16,' '!$C$14:$E$17,3,0)=MAX(K$62:K63),"",' '!B16))</f>
        <v>3</v>
      </c>
      <c r="L64" s="360"/>
      <c r="M64" s="230" t="str">
        <f>IF(' '!$L$18=0,AC21,VLOOKUP(' '!B16,' '!$C$14:$O$17,4,0))</f>
        <v>FC Sürenheide</v>
      </c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61" t="str">
        <f>IF(AND(M64&amp;$AH$54=VLOOKUP(M64&amp;$AH$54,' '!$D$23:$H$46,1,0),VLOOKUP(M64&amp;$AH$54,' '!$D$23:$H$46,4,0)&lt;&gt;""),VLOOKUP(M64&amp;$AH$54,' '!$D$23:$H$46,4,0),VLOOKUP(M64&amp;$AH$54,' '!$D$23:$H$46,5,0))</f>
        <v>0:2</v>
      </c>
      <c r="AI64" s="261"/>
      <c r="AJ64" s="267"/>
      <c r="AK64" s="258" t="str">
        <f>IF(AND(M64&amp;$AK$54=VLOOKUP(M64&amp;$AK$54,' '!$D$23:$H$46,1,0),VLOOKUP(M64&amp;$AK$54,' '!$D$23:$H$46,4,0)&lt;&gt;""),VLOOKUP(M64&amp;$AK$54,' '!$D$23:$H$46,4,0),VLOOKUP(M64&amp;$AK$54,' '!$D$23:$H$46,5,0))</f>
        <v>0:4</v>
      </c>
      <c r="AL64" s="258"/>
      <c r="AM64" s="258"/>
      <c r="AN64" s="259"/>
      <c r="AO64" s="259"/>
      <c r="AP64" s="259"/>
      <c r="AQ64" s="260" t="str">
        <f>IF(AND(M64&amp;$AQ$54=VLOOKUP(M64&amp;$AQ$54,' '!$D$23:$H$46,1,0),VLOOKUP(M64&amp;$AQ$54,' '!$D$23:$H$46,4,0)&lt;&gt;""),VLOOKUP(M64&amp;$AQ$54,' '!$D$23:$H$46,4,0),VLOOKUP(M64&amp;$AQ$54,' '!$D$23:$H$46,5,0))</f>
        <v>1:0</v>
      </c>
      <c r="AR64" s="261"/>
      <c r="AS64" s="261"/>
      <c r="AT64" s="261">
        <f>IF(' '!$L$18=0,"",VLOOKUP(' '!B16,' '!$C$14:$O$17,10,0))</f>
        <v>3</v>
      </c>
      <c r="AU64" s="261"/>
      <c r="AV64" s="267"/>
      <c r="AW64" s="344">
        <f>IF(' '!$L$18=0,"",VLOOKUP(' '!B16,' '!$C$14:$O$17,11,0))</f>
        <v>1</v>
      </c>
      <c r="AX64" s="345"/>
      <c r="AY64" s="341"/>
      <c r="AZ64" s="344">
        <f>IF(' '!$L$18=0,"",VLOOKUP(' '!B16,' '!$C$14:$O$17,12,0))</f>
        <v>0</v>
      </c>
      <c r="BA64" s="345"/>
      <c r="BB64" s="341"/>
      <c r="BC64" s="344">
        <f>IF(' '!$L$18=0,"",VLOOKUP(' '!B16,' '!$C$14:$O$17,13,0))</f>
        <v>2</v>
      </c>
      <c r="BD64" s="345"/>
      <c r="BE64" s="341"/>
      <c r="BF64" s="345">
        <f>IF(' '!$L$18=0,"",VLOOKUP(' '!B16,' '!$C$14:$O$17,5,0))</f>
        <v>1</v>
      </c>
      <c r="BG64" s="345"/>
      <c r="BH64" s="124" t="str">
        <f>IF(' '!$L$18=0,"",":")</f>
        <v>:</v>
      </c>
      <c r="BI64" s="341">
        <f>IF(' '!$L$18=0,"",VLOOKUP(' '!B16,' '!$C$14:$O$17,6,0))</f>
        <v>6</v>
      </c>
      <c r="BJ64" s="258"/>
      <c r="BK64" s="342">
        <f>IF(' '!$L$18=0,"",BF64-BI64)</f>
        <v>-5</v>
      </c>
      <c r="BL64" s="342"/>
      <c r="BM64" s="343"/>
      <c r="BN64" s="344">
        <f>IF(' '!$L$18=0,"",VLOOKUP(' '!B16,' '!$C$14:$O$17,7,0))</f>
        <v>3</v>
      </c>
      <c r="BO64" s="345"/>
      <c r="BP64" s="374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2"/>
      <c r="D65" s="292"/>
      <c r="E65" s="292"/>
      <c r="F65" s="292"/>
      <c r="G65" s="292"/>
      <c r="H65" s="292"/>
      <c r="I65" s="292"/>
      <c r="K65" s="356">
        <f>IF(' '!$L$18=0,"",IF(VLOOKUP(' '!B17,' '!$C$14:$E$17,3,0)=MAX(K$62:K64),"",' '!B17))</f>
        <v>4</v>
      </c>
      <c r="L65" s="357"/>
      <c r="M65" s="228" t="str">
        <f>IF(' '!$L$18=0,AC22,VLOOKUP(' '!B17,' '!$C$14:$O$17,4,0))</f>
        <v>Herzebrocker SV</v>
      </c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70" t="str">
        <f>IF(AND(M65&amp;$AH$54=VLOOKUP(M65&amp;$AH$54,' '!$D$23:$H$46,1,0),VLOOKUP(M65&amp;$AH$54,' '!$D$23:$H$46,4,0)&lt;&gt;""),VLOOKUP(M65&amp;$AH$54,' '!$D$23:$H$46,4,0),VLOOKUP(M65&amp;$AH$54,' '!$D$23:$H$46,5,0))</f>
        <v>0:6</v>
      </c>
      <c r="AI65" s="270"/>
      <c r="AJ65" s="271"/>
      <c r="AK65" s="257" t="str">
        <f>IF(AND(M65&amp;$AK$54=VLOOKUP(M65&amp;$AK$54,' '!$D$23:$H$46,1,0),VLOOKUP(M65&amp;$AK$54,' '!$D$23:$H$46,4,0)&lt;&gt;""),VLOOKUP(M65&amp;$AK$54,' '!$D$23:$H$46,4,0),VLOOKUP(M65&amp;$AK$54,' '!$D$23:$H$46,5,0))</f>
        <v>2:4</v>
      </c>
      <c r="AL65" s="257"/>
      <c r="AM65" s="257"/>
      <c r="AN65" s="257" t="str">
        <f>IF(AND(M65&amp;$AN$54=VLOOKUP(M65&amp;$AN$54,' '!$D$23:$H$46,1,0),VLOOKUP(M65&amp;$AN$54,' '!$D$23:$H$46,4,0)&lt;&gt;""),VLOOKUP(M65&amp;$AN$54,' '!$D$23:$H$46,4,0),VLOOKUP(M65&amp;$AN$54,' '!$D$23:$H$46,5,0))</f>
        <v>0:1</v>
      </c>
      <c r="AO65" s="257"/>
      <c r="AP65" s="257"/>
      <c r="AQ65" s="262"/>
      <c r="AR65" s="263"/>
      <c r="AS65" s="263"/>
      <c r="AT65" s="270">
        <f>IF(' '!$L$18=0,"",VLOOKUP(' '!B17,' '!$C$14:$O$17,10,0))</f>
        <v>3</v>
      </c>
      <c r="AU65" s="270"/>
      <c r="AV65" s="271"/>
      <c r="AW65" s="350">
        <f>IF(' '!$L$18=0,"",VLOOKUP(' '!B17,' '!$C$14:$O$17,11,0))</f>
        <v>0</v>
      </c>
      <c r="AX65" s="351"/>
      <c r="AY65" s="352"/>
      <c r="AZ65" s="350">
        <f>IF(' '!$L$18=0,"",VLOOKUP(' '!B17,' '!$C$14:$O$17,12,0))</f>
        <v>0</v>
      </c>
      <c r="BA65" s="351"/>
      <c r="BB65" s="352"/>
      <c r="BC65" s="350">
        <f>IF(' '!$L$18=0,"",VLOOKUP(' '!B17,' '!$C$14:$O$17,13,0))</f>
        <v>3</v>
      </c>
      <c r="BD65" s="351"/>
      <c r="BE65" s="352"/>
      <c r="BF65" s="348">
        <f>IF(' '!$L$18=0,"",VLOOKUP(' '!B17,' '!$C$14:$O$17,5,0))</f>
        <v>2</v>
      </c>
      <c r="BG65" s="348"/>
      <c r="BH65" s="137" t="str">
        <f>IF(' '!$L$18=0,"",":")</f>
        <v>:</v>
      </c>
      <c r="BI65" s="346">
        <f>IF(' '!$L$18=0,"",VLOOKUP(' '!B17,' '!$C$14:$O$17,6,0))</f>
        <v>11</v>
      </c>
      <c r="BJ65" s="347"/>
      <c r="BK65" s="339">
        <f>IF(' '!$L$18=0,"",BF65-BI65)</f>
        <v>-9</v>
      </c>
      <c r="BL65" s="339"/>
      <c r="BM65" s="340"/>
      <c r="BN65" s="350">
        <f>IF(' '!$L$18=0,"",VLOOKUP(' '!B17,' '!$C$14:$O$17,7,0))</f>
        <v>0</v>
      </c>
      <c r="BO65" s="351"/>
      <c r="BP65" s="373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28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2" t="s">
        <v>64</v>
      </c>
      <c r="C70" s="322"/>
      <c r="D70" s="322"/>
      <c r="E70" s="322"/>
      <c r="F70" s="322"/>
      <c r="G70" s="322"/>
      <c r="H70" s="327">
        <f>H38+TEXT(2*$U$11*($X$11/1440)+($AI$11/1440)+($AW$11/1440),"hh:mm")</f>
        <v>0.5236111111111112</v>
      </c>
      <c r="I70" s="327"/>
      <c r="J70" s="327"/>
      <c r="K70" s="327"/>
      <c r="L70" s="21" t="s">
        <v>2</v>
      </c>
      <c r="M70" s="21"/>
      <c r="N70" s="21"/>
      <c r="O70" s="21"/>
      <c r="P70" s="21"/>
      <c r="Q70" s="21"/>
      <c r="R70" s="21"/>
      <c r="S70" s="21"/>
      <c r="T70" s="133" t="s">
        <v>3</v>
      </c>
      <c r="U70" s="335">
        <f>U14</f>
        <v>1</v>
      </c>
      <c r="V70" s="335"/>
      <c r="W70" s="134" t="s">
        <v>4</v>
      </c>
      <c r="X70" s="409">
        <f>X11</f>
        <v>10</v>
      </c>
      <c r="Y70" s="409"/>
      <c r="Z70" s="409"/>
      <c r="AA70" s="409"/>
      <c r="AB70" s="409"/>
      <c r="AC70" s="410">
        <f>AC14</f>
      </c>
      <c r="AD70" s="410"/>
      <c r="AE70" s="410"/>
      <c r="AF70" s="410"/>
      <c r="AG70" s="410"/>
      <c r="AH70" s="410"/>
      <c r="AI70" s="394">
        <f>IF(AI14="","",AI14)</f>
        <v>0</v>
      </c>
      <c r="AJ70" s="394"/>
      <c r="AK70" s="394"/>
      <c r="AL70" s="394"/>
      <c r="AM70" s="394"/>
      <c r="AN70" s="322" t="s">
        <v>5</v>
      </c>
      <c r="AO70" s="322"/>
      <c r="AP70" s="322"/>
      <c r="AQ70" s="322"/>
      <c r="AR70" s="322"/>
      <c r="AS70" s="322"/>
      <c r="AT70" s="322"/>
      <c r="AU70" s="322"/>
      <c r="AV70" s="322"/>
      <c r="AW70" s="328">
        <f>AW14</f>
        <v>2</v>
      </c>
      <c r="AX70" s="328"/>
      <c r="AY70" s="328"/>
      <c r="AZ70" s="328"/>
      <c r="BA70" s="328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17"/>
      <c r="D72" s="223"/>
      <c r="E72" s="223"/>
      <c r="F72" s="223"/>
      <c r="G72" s="223"/>
      <c r="H72" s="223"/>
      <c r="I72" s="224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380"/>
      <c r="AZ72" s="223"/>
      <c r="BA72" s="223"/>
      <c r="BB72" s="223"/>
      <c r="BC72" s="223"/>
      <c r="BD72" s="224"/>
      <c r="BE72" s="211"/>
      <c r="BF72" s="212"/>
      <c r="BG72" s="212"/>
      <c r="BH72" s="213"/>
    </row>
    <row r="73" spans="2:60" ht="18" customHeight="1">
      <c r="B73" s="22"/>
      <c r="C73" s="311"/>
      <c r="D73" s="312"/>
      <c r="E73" s="390"/>
      <c r="F73" s="390"/>
      <c r="G73" s="390"/>
      <c r="H73" s="390"/>
      <c r="I73" s="310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136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3"/>
      <c r="AZ73" s="381"/>
      <c r="BA73" s="381"/>
      <c r="BB73" s="301"/>
      <c r="BC73" s="304"/>
      <c r="BD73" s="304"/>
      <c r="BE73" s="208"/>
      <c r="BF73" s="209"/>
      <c r="BG73" s="209"/>
      <c r="BH73" s="210"/>
    </row>
    <row r="74" spans="2:60" ht="15.75" thickBot="1">
      <c r="B74" s="22"/>
      <c r="C74" s="313"/>
      <c r="D74" s="314"/>
      <c r="E74" s="391"/>
      <c r="F74" s="391"/>
      <c r="G74" s="391"/>
      <c r="H74" s="391"/>
      <c r="I74" s="307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13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9"/>
      <c r="AZ74" s="375"/>
      <c r="BA74" s="375"/>
      <c r="BB74" s="375"/>
      <c r="BC74" s="375"/>
      <c r="BD74" s="376"/>
      <c r="BE74" s="214"/>
      <c r="BF74" s="215"/>
      <c r="BG74" s="215"/>
      <c r="BH74" s="216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17"/>
      <c r="D76" s="223"/>
      <c r="E76" s="223"/>
      <c r="F76" s="223"/>
      <c r="G76" s="223"/>
      <c r="H76" s="223"/>
      <c r="I76" s="224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380"/>
      <c r="AZ76" s="223"/>
      <c r="BA76" s="223"/>
      <c r="BB76" s="223"/>
      <c r="BC76" s="223"/>
      <c r="BD76" s="224"/>
      <c r="BE76" s="211"/>
      <c r="BF76" s="212"/>
      <c r="BG76" s="212"/>
      <c r="BH76" s="213"/>
    </row>
    <row r="77" spans="2:60" ht="18" customHeight="1">
      <c r="B77" s="22"/>
      <c r="C77" s="311"/>
      <c r="D77" s="312"/>
      <c r="E77" s="390"/>
      <c r="F77" s="390"/>
      <c r="G77" s="390"/>
      <c r="H77" s="390"/>
      <c r="I77" s="310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136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3"/>
      <c r="AZ77" s="381"/>
      <c r="BA77" s="381"/>
      <c r="BB77" s="301"/>
      <c r="BC77" s="304"/>
      <c r="BD77" s="304"/>
      <c r="BE77" s="208"/>
      <c r="BF77" s="209"/>
      <c r="BG77" s="209"/>
      <c r="BH77" s="210"/>
    </row>
    <row r="78" spans="2:60" ht="15.75" thickBot="1">
      <c r="B78" s="22"/>
      <c r="C78" s="313"/>
      <c r="D78" s="314"/>
      <c r="E78" s="391"/>
      <c r="F78" s="391"/>
      <c r="G78" s="391"/>
      <c r="H78" s="391"/>
      <c r="I78" s="307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13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308"/>
      <c r="AQ78" s="308"/>
      <c r="AR78" s="308"/>
      <c r="AS78" s="308"/>
      <c r="AT78" s="308"/>
      <c r="AU78" s="308"/>
      <c r="AV78" s="308"/>
      <c r="AW78" s="308"/>
      <c r="AX78" s="308"/>
      <c r="AY78" s="309"/>
      <c r="AZ78" s="375"/>
      <c r="BA78" s="375"/>
      <c r="BB78" s="375"/>
      <c r="BC78" s="375"/>
      <c r="BD78" s="376"/>
      <c r="BE78" s="214"/>
      <c r="BF78" s="215"/>
      <c r="BG78" s="215"/>
      <c r="BH78" s="216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18"/>
      <c r="D80" s="306"/>
      <c r="E80" s="306"/>
      <c r="F80" s="306"/>
      <c r="G80" s="306"/>
      <c r="H80" s="306"/>
      <c r="I80" s="377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8"/>
      <c r="U80" s="378"/>
      <c r="V80" s="378"/>
      <c r="W80" s="378"/>
      <c r="X80" s="378"/>
      <c r="Y80" s="378"/>
      <c r="Z80" s="378"/>
      <c r="AA80" s="378"/>
      <c r="AB80" s="378"/>
      <c r="AC80" s="378"/>
      <c r="AD80" s="378"/>
      <c r="AE80" s="378"/>
      <c r="AF80" s="378"/>
      <c r="AG80" s="378"/>
      <c r="AH80" s="378"/>
      <c r="AI80" s="378"/>
      <c r="AJ80" s="378"/>
      <c r="AK80" s="378"/>
      <c r="AL80" s="378"/>
      <c r="AM80" s="378"/>
      <c r="AN80" s="378"/>
      <c r="AO80" s="378"/>
      <c r="AP80" s="378"/>
      <c r="AQ80" s="378"/>
      <c r="AR80" s="378"/>
      <c r="AS80" s="378"/>
      <c r="AT80" s="378"/>
      <c r="AU80" s="378"/>
      <c r="AV80" s="378"/>
      <c r="AW80" s="378"/>
      <c r="AX80" s="378"/>
      <c r="AY80" s="379"/>
      <c r="AZ80" s="306"/>
      <c r="BA80" s="306"/>
      <c r="BB80" s="306"/>
      <c r="BC80" s="306"/>
      <c r="BD80" s="377"/>
      <c r="BE80" s="385"/>
      <c r="BF80" s="378"/>
      <c r="BG80" s="378"/>
      <c r="BH80" s="386"/>
    </row>
    <row r="81" spans="2:60" ht="18" customHeight="1">
      <c r="B81" s="22"/>
      <c r="C81" s="311"/>
      <c r="D81" s="312"/>
      <c r="E81" s="390"/>
      <c r="F81" s="390"/>
      <c r="G81" s="390"/>
      <c r="H81" s="390"/>
      <c r="I81" s="310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136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3"/>
      <c r="AZ81" s="381"/>
      <c r="BA81" s="381"/>
      <c r="BB81" s="301"/>
      <c r="BC81" s="304"/>
      <c r="BD81" s="304"/>
      <c r="BE81" s="208"/>
      <c r="BF81" s="209"/>
      <c r="BG81" s="209"/>
      <c r="BH81" s="210"/>
    </row>
    <row r="82" spans="2:60" ht="15.75" thickBot="1">
      <c r="B82" s="22"/>
      <c r="C82" s="313"/>
      <c r="D82" s="314"/>
      <c r="E82" s="391"/>
      <c r="F82" s="391"/>
      <c r="G82" s="391"/>
      <c r="H82" s="391"/>
      <c r="I82" s="307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13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9"/>
      <c r="AZ82" s="375"/>
      <c r="BA82" s="375"/>
      <c r="BB82" s="375"/>
      <c r="BC82" s="375"/>
      <c r="BD82" s="376"/>
      <c r="BE82" s="214"/>
      <c r="BF82" s="215"/>
      <c r="BG82" s="215"/>
      <c r="BH82" s="216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18"/>
      <c r="D84" s="306"/>
      <c r="E84" s="306"/>
      <c r="F84" s="306"/>
      <c r="G84" s="306"/>
      <c r="H84" s="306"/>
      <c r="I84" s="377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8"/>
      <c r="U84" s="378"/>
      <c r="V84" s="378"/>
      <c r="W84" s="378"/>
      <c r="X84" s="378"/>
      <c r="Y84" s="378"/>
      <c r="Z84" s="378"/>
      <c r="AA84" s="378"/>
      <c r="AB84" s="378"/>
      <c r="AC84" s="378"/>
      <c r="AD84" s="378"/>
      <c r="AE84" s="378"/>
      <c r="AF84" s="378"/>
      <c r="AG84" s="378"/>
      <c r="AH84" s="378"/>
      <c r="AI84" s="378"/>
      <c r="AJ84" s="378"/>
      <c r="AK84" s="378"/>
      <c r="AL84" s="378"/>
      <c r="AM84" s="378"/>
      <c r="AN84" s="378"/>
      <c r="AO84" s="378"/>
      <c r="AP84" s="378"/>
      <c r="AQ84" s="378"/>
      <c r="AR84" s="378"/>
      <c r="AS84" s="378"/>
      <c r="AT84" s="378"/>
      <c r="AU84" s="378"/>
      <c r="AV84" s="378"/>
      <c r="AW84" s="378"/>
      <c r="AX84" s="378"/>
      <c r="AY84" s="379"/>
      <c r="AZ84" s="306"/>
      <c r="BA84" s="306"/>
      <c r="BB84" s="306"/>
      <c r="BC84" s="306"/>
      <c r="BD84" s="377"/>
      <c r="BE84" s="385"/>
      <c r="BF84" s="378"/>
      <c r="BG84" s="378"/>
      <c r="BH84" s="386"/>
    </row>
    <row r="85" spans="2:86" s="36" customFormat="1" ht="18" customHeight="1">
      <c r="B85" s="22"/>
      <c r="C85" s="311"/>
      <c r="D85" s="312"/>
      <c r="E85" s="390"/>
      <c r="F85" s="390"/>
      <c r="G85" s="390"/>
      <c r="H85" s="390"/>
      <c r="I85" s="310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136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3"/>
      <c r="AZ85" s="381"/>
      <c r="BA85" s="381"/>
      <c r="BB85" s="301"/>
      <c r="BC85" s="304"/>
      <c r="BD85" s="304"/>
      <c r="BE85" s="208"/>
      <c r="BF85" s="209"/>
      <c r="BG85" s="209"/>
      <c r="BH85" s="210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3"/>
      <c r="D86" s="314"/>
      <c r="E86" s="391"/>
      <c r="F86" s="391"/>
      <c r="G86" s="391"/>
      <c r="H86" s="391"/>
      <c r="I86" s="307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308"/>
      <c r="Z86" s="308"/>
      <c r="AA86" s="308"/>
      <c r="AB86" s="308"/>
      <c r="AC86" s="308"/>
      <c r="AD86" s="138"/>
      <c r="AE86" s="308"/>
      <c r="AF86" s="308"/>
      <c r="AG86" s="308"/>
      <c r="AH86" s="308"/>
      <c r="AI86" s="308"/>
      <c r="AJ86" s="308"/>
      <c r="AK86" s="308"/>
      <c r="AL86" s="308"/>
      <c r="AM86" s="308"/>
      <c r="AN86" s="308"/>
      <c r="AO86" s="308"/>
      <c r="AP86" s="308"/>
      <c r="AQ86" s="308"/>
      <c r="AR86" s="308"/>
      <c r="AS86" s="308"/>
      <c r="AT86" s="308"/>
      <c r="AU86" s="308"/>
      <c r="AV86" s="308"/>
      <c r="AW86" s="308"/>
      <c r="AX86" s="308"/>
      <c r="AY86" s="309"/>
      <c r="AZ86" s="375"/>
      <c r="BA86" s="375"/>
      <c r="BB86" s="375"/>
      <c r="BC86" s="375"/>
      <c r="BD86" s="376"/>
      <c r="BE86" s="214"/>
      <c r="BF86" s="215"/>
      <c r="BG86" s="215"/>
      <c r="BH86" s="216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15" t="s">
        <v>11</v>
      </c>
      <c r="D88" s="316"/>
      <c r="E88" s="316" t="s">
        <v>65</v>
      </c>
      <c r="F88" s="316"/>
      <c r="G88" s="316"/>
      <c r="H88" s="316"/>
      <c r="I88" s="392" t="s">
        <v>41</v>
      </c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88"/>
      <c r="AC88" s="388"/>
      <c r="AD88" s="388"/>
      <c r="AE88" s="388"/>
      <c r="AF88" s="388"/>
      <c r="AG88" s="388"/>
      <c r="AH88" s="388"/>
      <c r="AI88" s="388"/>
      <c r="AJ88" s="388"/>
      <c r="AK88" s="388"/>
      <c r="AL88" s="388"/>
      <c r="AM88" s="388"/>
      <c r="AN88" s="388"/>
      <c r="AO88" s="388"/>
      <c r="AP88" s="388"/>
      <c r="AQ88" s="388"/>
      <c r="AR88" s="388"/>
      <c r="AS88" s="388"/>
      <c r="AT88" s="388"/>
      <c r="AU88" s="388"/>
      <c r="AV88" s="388"/>
      <c r="AW88" s="388"/>
      <c r="AX88" s="388"/>
      <c r="AY88" s="393"/>
      <c r="AZ88" s="316" t="s">
        <v>14</v>
      </c>
      <c r="BA88" s="316"/>
      <c r="BB88" s="316"/>
      <c r="BC88" s="316"/>
      <c r="BD88" s="392"/>
      <c r="BE88" s="387"/>
      <c r="BF88" s="388"/>
      <c r="BG88" s="388"/>
      <c r="BH88" s="38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1">
        <v>17</v>
      </c>
      <c r="D89" s="312"/>
      <c r="E89" s="390">
        <f>$H$14</f>
        <v>0.5208333333333334</v>
      </c>
      <c r="F89" s="390"/>
      <c r="G89" s="390"/>
      <c r="H89" s="390"/>
      <c r="I89" s="310" t="str">
        <f>$M$50</f>
        <v>FC Gütersloh</v>
      </c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136" t="s">
        <v>16</v>
      </c>
      <c r="AE89" s="282" t="str">
        <f>$M$63</f>
        <v>TuS Eintracht Bielefeld</v>
      </c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3"/>
      <c r="AZ89" s="381">
        <v>0</v>
      </c>
      <c r="BA89" s="381"/>
      <c r="BB89" s="301"/>
      <c r="BC89" s="304">
        <v>1</v>
      </c>
      <c r="BD89" s="304"/>
      <c r="BE89" s="208"/>
      <c r="BF89" s="209"/>
      <c r="BG89" s="209"/>
      <c r="BH89" s="210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3"/>
      <c r="D90" s="314"/>
      <c r="E90" s="391"/>
      <c r="F90" s="391"/>
      <c r="G90" s="391"/>
      <c r="H90" s="391"/>
      <c r="I90" s="307" t="s">
        <v>34</v>
      </c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138"/>
      <c r="AE90" s="308" t="s">
        <v>31</v>
      </c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9"/>
      <c r="AZ90" s="375"/>
      <c r="BA90" s="375"/>
      <c r="BB90" s="375"/>
      <c r="BC90" s="375"/>
      <c r="BD90" s="376"/>
      <c r="BE90" s="214"/>
      <c r="BF90" s="215"/>
      <c r="BG90" s="215"/>
      <c r="BH90" s="216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15" t="s">
        <v>11</v>
      </c>
      <c r="D92" s="316"/>
      <c r="E92" s="316" t="s">
        <v>65</v>
      </c>
      <c r="F92" s="316"/>
      <c r="G92" s="316"/>
      <c r="H92" s="316"/>
      <c r="I92" s="392" t="s">
        <v>44</v>
      </c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/>
      <c r="AM92" s="388"/>
      <c r="AN92" s="388"/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93"/>
      <c r="AZ92" s="316" t="s">
        <v>14</v>
      </c>
      <c r="BA92" s="316"/>
      <c r="BB92" s="316"/>
      <c r="BC92" s="316"/>
      <c r="BD92" s="392"/>
      <c r="BE92" s="387"/>
      <c r="BF92" s="388"/>
      <c r="BG92" s="388"/>
      <c r="BH92" s="38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1">
        <v>18</v>
      </c>
      <c r="D93" s="312"/>
      <c r="E93" s="390">
        <f>E89+TEXT($U$14*($X$14/1440)+($AI$14/1440)+($AW$14/1440),"hh:mm")</f>
        <v>0.5291666666666667</v>
      </c>
      <c r="F93" s="390"/>
      <c r="G93" s="390"/>
      <c r="H93" s="390"/>
      <c r="I93" s="310" t="str">
        <f>$M$49</f>
        <v>Spvg Steinhagen</v>
      </c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136" t="s">
        <v>16</v>
      </c>
      <c r="AE93" s="282" t="str">
        <f>$M$62</f>
        <v>FA Herringhausen-Eickum</v>
      </c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3"/>
      <c r="AZ93" s="381">
        <v>4</v>
      </c>
      <c r="BA93" s="381"/>
      <c r="BB93" s="301"/>
      <c r="BC93" s="304">
        <v>2</v>
      </c>
      <c r="BD93" s="304"/>
      <c r="BE93" s="208"/>
      <c r="BF93" s="209"/>
      <c r="BG93" s="209"/>
      <c r="BH93" s="210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3"/>
      <c r="D94" s="314"/>
      <c r="E94" s="391"/>
      <c r="F94" s="391"/>
      <c r="G94" s="391"/>
      <c r="H94" s="391"/>
      <c r="I94" s="307" t="s">
        <v>30</v>
      </c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138"/>
      <c r="AE94" s="308" t="s">
        <v>33</v>
      </c>
      <c r="AF94" s="308"/>
      <c r="AG94" s="308"/>
      <c r="AH94" s="308"/>
      <c r="AI94" s="308"/>
      <c r="AJ94" s="308"/>
      <c r="AK94" s="308"/>
      <c r="AL94" s="308"/>
      <c r="AM94" s="308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09"/>
      <c r="AZ94" s="375"/>
      <c r="BA94" s="375"/>
      <c r="BB94" s="375"/>
      <c r="BC94" s="375"/>
      <c r="BD94" s="376"/>
      <c r="BE94" s="214"/>
      <c r="BF94" s="215"/>
      <c r="BG94" s="215"/>
      <c r="BH94" s="216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47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07" t="s">
        <v>48</v>
      </c>
      <c r="K98" s="408"/>
      <c r="L98" s="402" t="str">
        <f>IF(ISBLANK($BC$93)," ",IF($AZ$93&gt;$BC$93,$I$93,IF($BC$93&gt;$AZ$93,$AE$93)))</f>
        <v>Spvg Steinhagen</v>
      </c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4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05" t="s">
        <v>49</v>
      </c>
      <c r="K99" s="406"/>
      <c r="L99" s="399" t="str">
        <f>IF(ISBLANK($BC$93)," ",IF($AZ$93&lt;$BC$93,$I$93,IF($BC$93&lt;$AZ$93,$AE$93)))</f>
        <v>FA Herringhausen-Eickum</v>
      </c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1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05" t="s">
        <v>50</v>
      </c>
      <c r="K100" s="406"/>
      <c r="L100" s="399" t="str">
        <f>IF(ISBLANK($BC$89)," ",IF($AZ$89&gt;$BC$89,$I$89,IF($BC$89&gt;$AZ$89,$AE$89)))</f>
        <v>TuS Eintracht Bielefeld</v>
      </c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1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05" t="s">
        <v>51</v>
      </c>
      <c r="K101" s="406"/>
      <c r="L101" s="399" t="str">
        <f>IF(ISBLANK($BC$89)," ",IF($AZ$89&lt;$BC$89,$I$89,IF($BC$89&lt;$AZ$89,$AE$89)))</f>
        <v>FC Gütersloh</v>
      </c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1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>
      <c r="B105" s="22"/>
      <c r="C105" s="22"/>
      <c r="D105" s="22"/>
      <c r="E105" s="22"/>
      <c r="F105" s="22"/>
      <c r="G105" s="22"/>
      <c r="H105" s="22"/>
      <c r="I105" s="22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68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69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70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71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72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73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74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75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76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76:AY76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3"/>
  <headerFooter alignWithMargins="0">
    <oddFooter xml:space="preserve">&amp;R&amp;P von &amp;N </oddFooter>
  </headerFooter>
  <rowBreaks count="2" manualBreakCount="2">
    <brk id="38" max="68" man="1"/>
    <brk id="94" max="68" man="1"/>
  </rowBreaks>
  <ignoredErrors>
    <ignoredError sqref="H15:BG16 I14:BG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13" t="str">
        <f>Ergebniseingabe!C2</f>
        <v>Vereinsname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513"/>
      <c r="AS2" s="513"/>
      <c r="AT2" s="513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91" t="str">
        <f>Ergebniseingabe!C3</f>
        <v>E3-Junioren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C3" s="491"/>
      <c r="AD3" s="491"/>
      <c r="AE3" s="491"/>
      <c r="AF3" s="491"/>
      <c r="AG3" s="491"/>
      <c r="AH3" s="491"/>
      <c r="AI3" s="491"/>
      <c r="AJ3" s="491"/>
      <c r="AK3" s="491"/>
      <c r="AL3" s="491"/>
      <c r="AM3" s="491"/>
      <c r="AN3" s="491"/>
      <c r="AO3" s="491"/>
      <c r="AP3" s="491"/>
      <c r="AQ3" s="491"/>
      <c r="AR3" s="491"/>
      <c r="AS3" s="491"/>
      <c r="AT3" s="491"/>
      <c r="AW3" s="207" t="s">
        <v>63</v>
      </c>
      <c r="AX3" s="207"/>
      <c r="AY3" s="207"/>
      <c r="AZ3" s="207"/>
      <c r="BA3" s="207"/>
      <c r="BB3" s="207"/>
      <c r="BC3" s="207"/>
      <c r="BD3" s="207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30" t="str">
        <f>Ergebniseingabe!C4</f>
        <v>Fußballturnier für - 2 X 4 - Mannschaften</v>
      </c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/>
      <c r="AL4" s="630"/>
      <c r="AM4" s="630"/>
      <c r="AN4" s="630"/>
      <c r="AO4" s="630"/>
      <c r="AP4" s="630"/>
      <c r="AQ4" s="630"/>
      <c r="AR4" s="630"/>
      <c r="AS4" s="630"/>
      <c r="AT4" s="63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25">
        <f>Ergebniseingabe!C6</f>
        <v>0</v>
      </c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29" t="str">
        <f>Ergebniseingabe!C8</f>
        <v>in ...</v>
      </c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629"/>
      <c r="AT8" s="62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2" t="s">
        <v>64</v>
      </c>
      <c r="B10" s="202"/>
      <c r="C10" s="202"/>
      <c r="D10" s="202"/>
      <c r="E10" s="202"/>
      <c r="F10" s="202"/>
      <c r="G10" s="413">
        <f>Ergebniseingabe!H11</f>
        <v>0.4166666666666667</v>
      </c>
      <c r="H10" s="413"/>
      <c r="I10" s="413"/>
      <c r="J10" s="413"/>
      <c r="K10" s="17" t="s">
        <v>2</v>
      </c>
      <c r="S10" s="45" t="s">
        <v>3</v>
      </c>
      <c r="T10" s="414">
        <f>Ergebniseingabe!U11</f>
        <v>1</v>
      </c>
      <c r="U10" s="414"/>
      <c r="V10" s="46" t="s">
        <v>4</v>
      </c>
      <c r="W10" s="411">
        <f>Ergebniseingabe!X11</f>
        <v>10</v>
      </c>
      <c r="X10" s="411"/>
      <c r="Y10" s="411"/>
      <c r="Z10" s="411"/>
      <c r="AA10" s="411"/>
      <c r="AB10" s="200">
        <f>IF(T10=2,"Halbzeit:","")</f>
      </c>
      <c r="AC10" s="200"/>
      <c r="AD10" s="200"/>
      <c r="AE10" s="200"/>
      <c r="AF10" s="200"/>
      <c r="AG10" s="200"/>
      <c r="AH10" s="411">
        <f>IF(Ergebniseingabe!AI11="","",Ergebniseingabe!AI11)</f>
      </c>
      <c r="AI10" s="411"/>
      <c r="AJ10" s="411"/>
      <c r="AK10" s="411"/>
      <c r="AL10" s="411"/>
      <c r="AM10" s="202" t="s">
        <v>5</v>
      </c>
      <c r="AN10" s="202"/>
      <c r="AO10" s="202"/>
      <c r="AP10" s="202"/>
      <c r="AQ10" s="202"/>
      <c r="AR10" s="202"/>
      <c r="AS10" s="202"/>
      <c r="AT10" s="202"/>
      <c r="AU10" s="202"/>
      <c r="AV10" s="412">
        <f>Ergebniseingabe!AW11</f>
        <v>2</v>
      </c>
      <c r="AW10" s="412"/>
      <c r="AX10" s="412"/>
      <c r="AY10" s="412"/>
      <c r="AZ10" s="41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6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17" t="str">
        <f>Ergebniseingabe!D18</f>
        <v>Gruppe A</v>
      </c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618"/>
      <c r="P14" s="618"/>
      <c r="Q14" s="618"/>
      <c r="R14" s="618"/>
      <c r="S14" s="618"/>
      <c r="T14" s="618"/>
      <c r="U14" s="618"/>
      <c r="V14" s="618"/>
      <c r="W14" s="619"/>
      <c r="AB14" s="614" t="str">
        <f>Ergebniseingabe!AC18</f>
        <v>Gruppe B</v>
      </c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Q14" s="615"/>
      <c r="AR14" s="615"/>
      <c r="AS14" s="615"/>
      <c r="AT14" s="615"/>
      <c r="AU14" s="615"/>
      <c r="AV14" s="616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31" t="str">
        <f>Ergebniseingabe!D19</f>
        <v>FC Gütersloh</v>
      </c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3"/>
      <c r="AA15" s="60">
        <v>1</v>
      </c>
      <c r="AB15" s="631" t="str">
        <f>Ergebniseingabe!AC19</f>
        <v>TuS Eintracht Bielefeld</v>
      </c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3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24" t="str">
        <f>Ergebniseingabe!D20</f>
        <v>Spvg Steinhagen</v>
      </c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80"/>
      <c r="AA16" s="60">
        <v>2</v>
      </c>
      <c r="AB16" s="624" t="str">
        <f>Ergebniseingabe!AC20</f>
        <v>Herzebrocker SV</v>
      </c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80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24" t="str">
        <f>Ergebniseingabe!D21</f>
        <v>SV Spexard</v>
      </c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80"/>
      <c r="AA17" s="60">
        <v>3</v>
      </c>
      <c r="AB17" s="624" t="str">
        <f>Ergebniseingabe!AC21</f>
        <v>FC Sürenheide</v>
      </c>
      <c r="AC17" s="479"/>
      <c r="AD17" s="479"/>
      <c r="AE17" s="479"/>
      <c r="AF17" s="479"/>
      <c r="AG17" s="479"/>
      <c r="AH17" s="479"/>
      <c r="AI17" s="479"/>
      <c r="AJ17" s="479"/>
      <c r="AK17" s="479"/>
      <c r="AL17" s="479"/>
      <c r="AM17" s="479"/>
      <c r="AN17" s="479"/>
      <c r="AO17" s="479"/>
      <c r="AP17" s="479"/>
      <c r="AQ17" s="479"/>
      <c r="AR17" s="479"/>
      <c r="AS17" s="479"/>
      <c r="AT17" s="479"/>
      <c r="AU17" s="479"/>
      <c r="AV17" s="480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23" t="str">
        <f>Ergebniseingabe!D22</f>
        <v>SCE Gütersloh</v>
      </c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7"/>
      <c r="AA18" s="60">
        <v>4</v>
      </c>
      <c r="AB18" s="623" t="str">
        <f>Ergebniseingabe!AC22</f>
        <v>FA Herringhausen-Eickum</v>
      </c>
      <c r="AC18" s="476"/>
      <c r="AD18" s="476"/>
      <c r="AE18" s="476"/>
      <c r="AF18" s="476"/>
      <c r="AG18" s="476"/>
      <c r="AH18" s="476"/>
      <c r="AI18" s="476"/>
      <c r="AJ18" s="476"/>
      <c r="AK18" s="476"/>
      <c r="AL18" s="476"/>
      <c r="AM18" s="476"/>
      <c r="AN18" s="476"/>
      <c r="AO18" s="476"/>
      <c r="AP18" s="476"/>
      <c r="AQ18" s="476"/>
      <c r="AR18" s="476"/>
      <c r="AS18" s="476"/>
      <c r="AT18" s="476"/>
      <c r="AU18" s="476"/>
      <c r="AV18" s="477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10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26" t="s">
        <v>11</v>
      </c>
      <c r="C22" s="627"/>
      <c r="D22" s="488" t="s">
        <v>12</v>
      </c>
      <c r="E22" s="489"/>
      <c r="F22" s="490"/>
      <c r="G22" s="488" t="s">
        <v>65</v>
      </c>
      <c r="H22" s="489"/>
      <c r="I22" s="489"/>
      <c r="J22" s="490"/>
      <c r="K22" s="488" t="s">
        <v>13</v>
      </c>
      <c r="L22" s="489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89"/>
      <c r="AV22" s="489"/>
      <c r="AW22" s="489"/>
      <c r="AX22" s="489"/>
      <c r="AY22" s="489"/>
      <c r="AZ22" s="489"/>
      <c r="BA22" s="490"/>
      <c r="BB22" s="488" t="s">
        <v>14</v>
      </c>
      <c r="BC22" s="489"/>
      <c r="BD22" s="489"/>
      <c r="BE22" s="489"/>
      <c r="BF22" s="489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28">
        <v>1</v>
      </c>
      <c r="C23" s="601"/>
      <c r="D23" s="601" t="str">
        <f>Ergebniseingabe!E27</f>
        <v>A</v>
      </c>
      <c r="E23" s="601"/>
      <c r="F23" s="601"/>
      <c r="G23" s="611">
        <f>Ergebniseingabe!H27</f>
        <v>0.4166666666666667</v>
      </c>
      <c r="H23" s="612"/>
      <c r="I23" s="612"/>
      <c r="J23" s="613"/>
      <c r="K23" s="508" t="str">
        <f>Ergebniseingabe!L27</f>
        <v>FC Gütersloh</v>
      </c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67" t="s">
        <v>16</v>
      </c>
      <c r="AG23" s="506" t="str">
        <f>Ergebniseingabe!AH27</f>
        <v>Spvg Steinhagen</v>
      </c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7"/>
      <c r="BB23" s="602">
        <f>IF(Ergebniseingabe!BC27="","",Ergebniseingabe!BC27)</f>
        <v>1</v>
      </c>
      <c r="BC23" s="603"/>
      <c r="BD23" s="603"/>
      <c r="BE23" s="416">
        <f>IF(Ergebniseingabe!BF27="","",Ergebniseingabe!BF27)</f>
        <v>1</v>
      </c>
      <c r="BF23" s="41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23">
        <v>2</v>
      </c>
      <c r="C24" s="521"/>
      <c r="D24" s="521" t="str">
        <f>Ergebniseingabe!E28</f>
        <v>A</v>
      </c>
      <c r="E24" s="521"/>
      <c r="F24" s="521"/>
      <c r="G24" s="524">
        <f>Ergebniseingabe!H28</f>
        <v>0.42500000000000004</v>
      </c>
      <c r="H24" s="525"/>
      <c r="I24" s="525"/>
      <c r="J24" s="526"/>
      <c r="K24" s="570" t="str">
        <f>Ergebniseingabe!L28</f>
        <v>SV Spexard</v>
      </c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77" t="s">
        <v>16</v>
      </c>
      <c r="AG24" s="571" t="str">
        <f>Ergebniseingabe!AH28</f>
        <v>SCE Gütersloh</v>
      </c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571"/>
      <c r="AW24" s="571"/>
      <c r="AX24" s="571"/>
      <c r="AY24" s="571"/>
      <c r="AZ24" s="571"/>
      <c r="BA24" s="580"/>
      <c r="BB24" s="578">
        <f>IF(Ergebniseingabe!BC28="","",Ergebniseingabe!BC28)</f>
        <v>2</v>
      </c>
      <c r="BC24" s="579"/>
      <c r="BD24" s="579"/>
      <c r="BE24" s="572">
        <f>IF(Ergebniseingabe!BF28="","",Ergebniseingabe!BF28)</f>
        <v>0</v>
      </c>
      <c r="BF24" s="57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597">
        <v>3</v>
      </c>
      <c r="C25" s="522"/>
      <c r="D25" s="522" t="str">
        <f>Ergebniseingabe!E29</f>
        <v>B</v>
      </c>
      <c r="E25" s="522"/>
      <c r="F25" s="522"/>
      <c r="G25" s="527">
        <f>Ergebniseingabe!H29</f>
        <v>0.4333333333333334</v>
      </c>
      <c r="H25" s="528"/>
      <c r="I25" s="528"/>
      <c r="J25" s="529"/>
      <c r="K25" s="600" t="str">
        <f>Ergebniseingabe!L29</f>
        <v>TuS Eintracht Bielefeld</v>
      </c>
      <c r="L25" s="598"/>
      <c r="M25" s="598"/>
      <c r="N25" s="598"/>
      <c r="O25" s="598"/>
      <c r="P25" s="598"/>
      <c r="Q25" s="598"/>
      <c r="R25" s="598"/>
      <c r="S25" s="598"/>
      <c r="T25" s="598"/>
      <c r="U25" s="598"/>
      <c r="V25" s="598"/>
      <c r="W25" s="598"/>
      <c r="X25" s="598"/>
      <c r="Y25" s="598"/>
      <c r="Z25" s="598"/>
      <c r="AA25" s="598"/>
      <c r="AB25" s="598"/>
      <c r="AC25" s="598"/>
      <c r="AD25" s="598"/>
      <c r="AE25" s="598"/>
      <c r="AF25" s="192" t="s">
        <v>16</v>
      </c>
      <c r="AG25" s="598" t="str">
        <f>Ergebniseingabe!AH29</f>
        <v>Herzebrocker SV</v>
      </c>
      <c r="AH25" s="598"/>
      <c r="AI25" s="598"/>
      <c r="AJ25" s="598"/>
      <c r="AK25" s="598"/>
      <c r="AL25" s="598"/>
      <c r="AM25" s="598"/>
      <c r="AN25" s="598"/>
      <c r="AO25" s="598"/>
      <c r="AP25" s="598"/>
      <c r="AQ25" s="598"/>
      <c r="AR25" s="598"/>
      <c r="AS25" s="598"/>
      <c r="AT25" s="598"/>
      <c r="AU25" s="598"/>
      <c r="AV25" s="598"/>
      <c r="AW25" s="598"/>
      <c r="AX25" s="598"/>
      <c r="AY25" s="598"/>
      <c r="AZ25" s="598"/>
      <c r="BA25" s="599"/>
      <c r="BB25" s="576">
        <f>IF(Ergebniseingabe!BC29="","",Ergebniseingabe!BC29)</f>
        <v>4</v>
      </c>
      <c r="BC25" s="577"/>
      <c r="BD25" s="577"/>
      <c r="BE25" s="574">
        <f>IF(Ergebniseingabe!BF29="","",Ergebniseingabe!BF29)</f>
        <v>2</v>
      </c>
      <c r="BF25" s="57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23">
        <v>4</v>
      </c>
      <c r="C26" s="521"/>
      <c r="D26" s="521" t="str">
        <f>Ergebniseingabe!E30</f>
        <v>B</v>
      </c>
      <c r="E26" s="521"/>
      <c r="F26" s="521"/>
      <c r="G26" s="524">
        <f>Ergebniseingabe!H30</f>
        <v>0.44166666666666676</v>
      </c>
      <c r="H26" s="525"/>
      <c r="I26" s="525"/>
      <c r="J26" s="526"/>
      <c r="K26" s="570" t="str">
        <f>Ergebniseingabe!L30</f>
        <v>FC Sürenheide</v>
      </c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77" t="s">
        <v>16</v>
      </c>
      <c r="AG26" s="571" t="str">
        <f>Ergebniseingabe!AH30</f>
        <v>FA Herringhausen-Eickum</v>
      </c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AZ26" s="571"/>
      <c r="BA26" s="580"/>
      <c r="BB26" s="578">
        <f>IF(Ergebniseingabe!BC30="","",Ergebniseingabe!BC30)</f>
        <v>0</v>
      </c>
      <c r="BC26" s="579"/>
      <c r="BD26" s="579"/>
      <c r="BE26" s="572">
        <f>IF(Ergebniseingabe!BF30="","",Ergebniseingabe!BF30)</f>
        <v>2</v>
      </c>
      <c r="BF26" s="57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597">
        <v>5</v>
      </c>
      <c r="C27" s="522"/>
      <c r="D27" s="522" t="str">
        <f>Ergebniseingabe!E31</f>
        <v>A</v>
      </c>
      <c r="E27" s="522"/>
      <c r="F27" s="522"/>
      <c r="G27" s="527">
        <f>Ergebniseingabe!H31</f>
        <v>0.4500000000000001</v>
      </c>
      <c r="H27" s="528"/>
      <c r="I27" s="528"/>
      <c r="J27" s="529"/>
      <c r="K27" s="600" t="str">
        <f>Ergebniseingabe!L31</f>
        <v>Spvg Steinhagen</v>
      </c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192" t="s">
        <v>16</v>
      </c>
      <c r="AG27" s="598" t="str">
        <f>Ergebniseingabe!AH31</f>
        <v>SV Spexard</v>
      </c>
      <c r="AH27" s="598"/>
      <c r="AI27" s="598"/>
      <c r="AJ27" s="598"/>
      <c r="AK27" s="598"/>
      <c r="AL27" s="598"/>
      <c r="AM27" s="598"/>
      <c r="AN27" s="598"/>
      <c r="AO27" s="598"/>
      <c r="AP27" s="598"/>
      <c r="AQ27" s="598"/>
      <c r="AR27" s="598"/>
      <c r="AS27" s="598"/>
      <c r="AT27" s="598"/>
      <c r="AU27" s="598"/>
      <c r="AV27" s="598"/>
      <c r="AW27" s="598"/>
      <c r="AX27" s="598"/>
      <c r="AY27" s="598"/>
      <c r="AZ27" s="598"/>
      <c r="BA27" s="599"/>
      <c r="BB27" s="576">
        <f>IF(Ergebniseingabe!BC31="","",Ergebniseingabe!BC31)</f>
        <v>2</v>
      </c>
      <c r="BC27" s="577"/>
      <c r="BD27" s="577"/>
      <c r="BE27" s="574">
        <f>IF(Ergebniseingabe!BF31="","",Ergebniseingabe!BF31)</f>
        <v>0</v>
      </c>
      <c r="BF27" s="57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23">
        <v>6</v>
      </c>
      <c r="C28" s="521"/>
      <c r="D28" s="521" t="str">
        <f>Ergebniseingabe!E32</f>
        <v>A</v>
      </c>
      <c r="E28" s="521"/>
      <c r="F28" s="521"/>
      <c r="G28" s="524">
        <f>Ergebniseingabe!H32</f>
        <v>0.4583333333333335</v>
      </c>
      <c r="H28" s="525"/>
      <c r="I28" s="525"/>
      <c r="J28" s="526"/>
      <c r="K28" s="570" t="str">
        <f>Ergebniseingabe!L32</f>
        <v>SCE Gütersloh</v>
      </c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77" t="s">
        <v>16</v>
      </c>
      <c r="AG28" s="571" t="str">
        <f>Ergebniseingabe!AH32</f>
        <v>FC Gütersloh</v>
      </c>
      <c r="AH28" s="571"/>
      <c r="AI28" s="571"/>
      <c r="AJ28" s="571"/>
      <c r="AK28" s="571"/>
      <c r="AL28" s="571"/>
      <c r="AM28" s="571"/>
      <c r="AN28" s="571"/>
      <c r="AO28" s="571"/>
      <c r="AP28" s="571"/>
      <c r="AQ28" s="571"/>
      <c r="AR28" s="571"/>
      <c r="AS28" s="571"/>
      <c r="AT28" s="571"/>
      <c r="AU28" s="571"/>
      <c r="AV28" s="571"/>
      <c r="AW28" s="571"/>
      <c r="AX28" s="571"/>
      <c r="AY28" s="571"/>
      <c r="AZ28" s="571"/>
      <c r="BA28" s="580"/>
      <c r="BB28" s="578">
        <f>IF(Ergebniseingabe!BC32="","",Ergebniseingabe!BC32)</f>
        <v>1</v>
      </c>
      <c r="BC28" s="579"/>
      <c r="BD28" s="579"/>
      <c r="BE28" s="572">
        <f>IF(Ergebniseingabe!BF32="","",Ergebniseingabe!BF32)</f>
        <v>1</v>
      </c>
      <c r="BF28" s="57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597">
        <v>7</v>
      </c>
      <c r="C29" s="522"/>
      <c r="D29" s="522" t="str">
        <f>Ergebniseingabe!E33</f>
        <v>B</v>
      </c>
      <c r="E29" s="522"/>
      <c r="F29" s="522"/>
      <c r="G29" s="527">
        <f>Ergebniseingabe!H33</f>
        <v>0.46666666666666684</v>
      </c>
      <c r="H29" s="528"/>
      <c r="I29" s="528"/>
      <c r="J29" s="529"/>
      <c r="K29" s="600" t="str">
        <f>Ergebniseingabe!L33</f>
        <v>Herzebrocker SV</v>
      </c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  <c r="X29" s="598"/>
      <c r="Y29" s="598"/>
      <c r="Z29" s="598"/>
      <c r="AA29" s="598"/>
      <c r="AB29" s="598"/>
      <c r="AC29" s="598"/>
      <c r="AD29" s="598"/>
      <c r="AE29" s="598"/>
      <c r="AF29" s="192" t="s">
        <v>16</v>
      </c>
      <c r="AG29" s="598" t="str">
        <f>Ergebniseingabe!AH33</f>
        <v>FC Sürenheide</v>
      </c>
      <c r="AH29" s="598"/>
      <c r="AI29" s="598"/>
      <c r="AJ29" s="598"/>
      <c r="AK29" s="598"/>
      <c r="AL29" s="598"/>
      <c r="AM29" s="598"/>
      <c r="AN29" s="598"/>
      <c r="AO29" s="598"/>
      <c r="AP29" s="598"/>
      <c r="AQ29" s="598"/>
      <c r="AR29" s="598"/>
      <c r="AS29" s="598"/>
      <c r="AT29" s="598"/>
      <c r="AU29" s="598"/>
      <c r="AV29" s="598"/>
      <c r="AW29" s="598"/>
      <c r="AX29" s="598"/>
      <c r="AY29" s="598"/>
      <c r="AZ29" s="598"/>
      <c r="BA29" s="599"/>
      <c r="BB29" s="576">
        <f>IF(Ergebniseingabe!BC33="","",Ergebniseingabe!BC33)</f>
        <v>0</v>
      </c>
      <c r="BC29" s="577"/>
      <c r="BD29" s="577"/>
      <c r="BE29" s="574">
        <f>IF(Ergebniseingabe!BF33="","",Ergebniseingabe!BF33)</f>
        <v>1</v>
      </c>
      <c r="BF29" s="57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23">
        <v>8</v>
      </c>
      <c r="C30" s="521"/>
      <c r="D30" s="521" t="str">
        <f>Ergebniseingabe!E34</f>
        <v>B</v>
      </c>
      <c r="E30" s="521"/>
      <c r="F30" s="521"/>
      <c r="G30" s="524">
        <f>Ergebniseingabe!H34</f>
        <v>0.4750000000000002</v>
      </c>
      <c r="H30" s="525"/>
      <c r="I30" s="525"/>
      <c r="J30" s="526"/>
      <c r="K30" s="570" t="str">
        <f>Ergebniseingabe!L34</f>
        <v>FA Herringhausen-Eickum</v>
      </c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77" t="s">
        <v>16</v>
      </c>
      <c r="AG30" s="571" t="str">
        <f>Ergebniseingabe!AH34</f>
        <v>TuS Eintracht Bielefeld</v>
      </c>
      <c r="AH30" s="571"/>
      <c r="AI30" s="571"/>
      <c r="AJ30" s="571"/>
      <c r="AK30" s="571"/>
      <c r="AL30" s="571"/>
      <c r="AM30" s="571"/>
      <c r="AN30" s="571"/>
      <c r="AO30" s="571"/>
      <c r="AP30" s="571"/>
      <c r="AQ30" s="571"/>
      <c r="AR30" s="571"/>
      <c r="AS30" s="571"/>
      <c r="AT30" s="571"/>
      <c r="AU30" s="571"/>
      <c r="AV30" s="571"/>
      <c r="AW30" s="571"/>
      <c r="AX30" s="571"/>
      <c r="AY30" s="571"/>
      <c r="AZ30" s="571"/>
      <c r="BA30" s="580"/>
      <c r="BB30" s="578">
        <f>IF(Ergebniseingabe!BC34="","",Ergebniseingabe!BC34)</f>
        <v>0</v>
      </c>
      <c r="BC30" s="579"/>
      <c r="BD30" s="579"/>
      <c r="BE30" s="572">
        <f>IF(Ergebniseingabe!BF34="","",Ergebniseingabe!BF34)</f>
        <v>0</v>
      </c>
      <c r="BF30" s="57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597">
        <v>9</v>
      </c>
      <c r="C31" s="522"/>
      <c r="D31" s="522" t="str">
        <f>Ergebniseingabe!E35</f>
        <v>A</v>
      </c>
      <c r="E31" s="522"/>
      <c r="F31" s="522"/>
      <c r="G31" s="527">
        <f>Ergebniseingabe!H35</f>
        <v>0.48333333333333356</v>
      </c>
      <c r="H31" s="528"/>
      <c r="I31" s="528"/>
      <c r="J31" s="529"/>
      <c r="K31" s="600" t="str">
        <f>Ergebniseingabe!L35</f>
        <v>FC Gütersloh</v>
      </c>
      <c r="L31" s="598"/>
      <c r="M31" s="598"/>
      <c r="N31" s="598"/>
      <c r="O31" s="598"/>
      <c r="P31" s="598"/>
      <c r="Q31" s="598"/>
      <c r="R31" s="598"/>
      <c r="S31" s="598"/>
      <c r="T31" s="598"/>
      <c r="U31" s="598"/>
      <c r="V31" s="598"/>
      <c r="W31" s="598"/>
      <c r="X31" s="598"/>
      <c r="Y31" s="598"/>
      <c r="Z31" s="598"/>
      <c r="AA31" s="598"/>
      <c r="AB31" s="598"/>
      <c r="AC31" s="598"/>
      <c r="AD31" s="598"/>
      <c r="AE31" s="598"/>
      <c r="AF31" s="192" t="s">
        <v>16</v>
      </c>
      <c r="AG31" s="598" t="str">
        <f>Ergebniseingabe!AH35</f>
        <v>SV Spexard</v>
      </c>
      <c r="AH31" s="598"/>
      <c r="AI31" s="598"/>
      <c r="AJ31" s="598"/>
      <c r="AK31" s="598"/>
      <c r="AL31" s="598"/>
      <c r="AM31" s="598"/>
      <c r="AN31" s="598"/>
      <c r="AO31" s="598"/>
      <c r="AP31" s="598"/>
      <c r="AQ31" s="598"/>
      <c r="AR31" s="598"/>
      <c r="AS31" s="598"/>
      <c r="AT31" s="598"/>
      <c r="AU31" s="598"/>
      <c r="AV31" s="598"/>
      <c r="AW31" s="598"/>
      <c r="AX31" s="598"/>
      <c r="AY31" s="598"/>
      <c r="AZ31" s="598"/>
      <c r="BA31" s="599"/>
      <c r="BB31" s="576">
        <f>IF(Ergebniseingabe!BC35="","",Ergebniseingabe!BC35)</f>
        <v>1</v>
      </c>
      <c r="BC31" s="577"/>
      <c r="BD31" s="577"/>
      <c r="BE31" s="574">
        <f>IF(Ergebniseingabe!BF35="","",Ergebniseingabe!BF35)</f>
        <v>0</v>
      </c>
      <c r="BF31" s="57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23">
        <v>10</v>
      </c>
      <c r="C32" s="521"/>
      <c r="D32" s="521" t="str">
        <f>Ergebniseingabe!E36</f>
        <v>A</v>
      </c>
      <c r="E32" s="521"/>
      <c r="F32" s="521"/>
      <c r="G32" s="524">
        <f>Ergebniseingabe!H36</f>
        <v>0.4916666666666669</v>
      </c>
      <c r="H32" s="525"/>
      <c r="I32" s="525"/>
      <c r="J32" s="526"/>
      <c r="K32" s="570" t="str">
        <f>Ergebniseingabe!L36</f>
        <v>Spvg Steinhagen</v>
      </c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77" t="s">
        <v>16</v>
      </c>
      <c r="AG32" s="571" t="str">
        <f>Ergebniseingabe!AH36</f>
        <v>SCE Gütersloh</v>
      </c>
      <c r="AH32" s="571"/>
      <c r="AI32" s="571"/>
      <c r="AJ32" s="571"/>
      <c r="AK32" s="571"/>
      <c r="AL32" s="571"/>
      <c r="AM32" s="571"/>
      <c r="AN32" s="571"/>
      <c r="AO32" s="571"/>
      <c r="AP32" s="571"/>
      <c r="AQ32" s="571"/>
      <c r="AR32" s="571"/>
      <c r="AS32" s="571"/>
      <c r="AT32" s="571"/>
      <c r="AU32" s="571"/>
      <c r="AV32" s="571"/>
      <c r="AW32" s="571"/>
      <c r="AX32" s="571"/>
      <c r="AY32" s="571"/>
      <c r="AZ32" s="571"/>
      <c r="BA32" s="580"/>
      <c r="BB32" s="578">
        <f>IF(Ergebniseingabe!BC36="","",Ergebniseingabe!BC36)</f>
        <v>4</v>
      </c>
      <c r="BC32" s="579"/>
      <c r="BD32" s="579"/>
      <c r="BE32" s="572">
        <f>IF(Ergebniseingabe!BF36="","",Ergebniseingabe!BF36)</f>
        <v>1</v>
      </c>
      <c r="BF32" s="57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597">
        <v>11</v>
      </c>
      <c r="C33" s="522"/>
      <c r="D33" s="522" t="str">
        <f>Ergebniseingabe!E37</f>
        <v>B</v>
      </c>
      <c r="E33" s="522"/>
      <c r="F33" s="522"/>
      <c r="G33" s="527">
        <f>Ergebniseingabe!H37</f>
        <v>0.5000000000000002</v>
      </c>
      <c r="H33" s="528"/>
      <c r="I33" s="528"/>
      <c r="J33" s="529"/>
      <c r="K33" s="600" t="str">
        <f>Ergebniseingabe!L37</f>
        <v>TuS Eintracht Bielefeld</v>
      </c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192" t="s">
        <v>16</v>
      </c>
      <c r="AG33" s="598" t="str">
        <f>Ergebniseingabe!AH37</f>
        <v>FC Sürenheide</v>
      </c>
      <c r="AH33" s="598"/>
      <c r="AI33" s="598"/>
      <c r="AJ33" s="598"/>
      <c r="AK33" s="598"/>
      <c r="AL33" s="598"/>
      <c r="AM33" s="598"/>
      <c r="AN33" s="598"/>
      <c r="AO33" s="598"/>
      <c r="AP33" s="598"/>
      <c r="AQ33" s="598"/>
      <c r="AR33" s="598"/>
      <c r="AS33" s="598"/>
      <c r="AT33" s="598"/>
      <c r="AU33" s="598"/>
      <c r="AV33" s="598"/>
      <c r="AW33" s="598"/>
      <c r="AX33" s="598"/>
      <c r="AY33" s="598"/>
      <c r="AZ33" s="598"/>
      <c r="BA33" s="599"/>
      <c r="BB33" s="576">
        <f>IF(Ergebniseingabe!BC37="","",Ergebniseingabe!BC37)</f>
        <v>4</v>
      </c>
      <c r="BC33" s="577"/>
      <c r="BD33" s="577"/>
      <c r="BE33" s="574">
        <f>IF(Ergebniseingabe!BF37="","",Ergebniseingabe!BF37)</f>
        <v>0</v>
      </c>
      <c r="BF33" s="57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23">
        <v>12</v>
      </c>
      <c r="C34" s="521"/>
      <c r="D34" s="521" t="str">
        <f>Ergebniseingabe!E38</f>
        <v>B</v>
      </c>
      <c r="E34" s="521"/>
      <c r="F34" s="521"/>
      <c r="G34" s="524">
        <f>Ergebniseingabe!H38</f>
        <v>0.5083333333333335</v>
      </c>
      <c r="H34" s="525"/>
      <c r="I34" s="525"/>
      <c r="J34" s="526"/>
      <c r="K34" s="570" t="str">
        <f>Ergebniseingabe!L38</f>
        <v>Herzebrocker SV</v>
      </c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77" t="s">
        <v>16</v>
      </c>
      <c r="AG34" s="571" t="str">
        <f>Ergebniseingabe!AH38</f>
        <v>FA Herringhausen-Eickum</v>
      </c>
      <c r="AH34" s="571"/>
      <c r="AI34" s="571"/>
      <c r="AJ34" s="571"/>
      <c r="AK34" s="571"/>
      <c r="AL34" s="571"/>
      <c r="AM34" s="571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80"/>
      <c r="BB34" s="578">
        <f>IF(Ergebniseingabe!BC38="","",Ergebniseingabe!BC38)</f>
        <v>0</v>
      </c>
      <c r="BC34" s="579"/>
      <c r="BD34" s="579"/>
      <c r="BE34" s="572">
        <f>IF(Ergebniseingabe!BF38="","",Ergebniseingabe!BF38)</f>
        <v>6</v>
      </c>
      <c r="BF34" s="57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9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91" t="str">
        <f>L45</f>
        <v>Spvg Steinhagen</v>
      </c>
      <c r="AH37" s="582"/>
      <c r="AI37" s="592"/>
      <c r="AJ37" s="581" t="str">
        <f>L46</f>
        <v>FC Gütersloh</v>
      </c>
      <c r="AK37" s="582"/>
      <c r="AL37" s="592"/>
      <c r="AM37" s="581" t="str">
        <f>L47</f>
        <v>SV Spexard</v>
      </c>
      <c r="AN37" s="582"/>
      <c r="AO37" s="592"/>
      <c r="AP37" s="581" t="str">
        <f>L48</f>
        <v>SCE Gütersloh</v>
      </c>
      <c r="AQ37" s="582"/>
      <c r="AR37" s="58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93"/>
      <c r="AH38" s="585"/>
      <c r="AI38" s="594"/>
      <c r="AJ38" s="584"/>
      <c r="AK38" s="585"/>
      <c r="AL38" s="594"/>
      <c r="AM38" s="584"/>
      <c r="AN38" s="585"/>
      <c r="AO38" s="594"/>
      <c r="AP38" s="584"/>
      <c r="AQ38" s="585"/>
      <c r="AR38" s="58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93"/>
      <c r="AH39" s="585"/>
      <c r="AI39" s="594"/>
      <c r="AJ39" s="584"/>
      <c r="AK39" s="585"/>
      <c r="AL39" s="594"/>
      <c r="AM39" s="584"/>
      <c r="AN39" s="585"/>
      <c r="AO39" s="594"/>
      <c r="AP39" s="584"/>
      <c r="AQ39" s="585"/>
      <c r="AR39" s="58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93"/>
      <c r="AH40" s="585"/>
      <c r="AI40" s="594"/>
      <c r="AJ40" s="584"/>
      <c r="AK40" s="585"/>
      <c r="AL40" s="594"/>
      <c r="AM40" s="584"/>
      <c r="AN40" s="585"/>
      <c r="AO40" s="594"/>
      <c r="AP40" s="584"/>
      <c r="AQ40" s="585"/>
      <c r="AR40" s="58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93"/>
      <c r="AH41" s="585"/>
      <c r="AI41" s="594"/>
      <c r="AJ41" s="584"/>
      <c r="AK41" s="585"/>
      <c r="AL41" s="594"/>
      <c r="AM41" s="584"/>
      <c r="AN41" s="585"/>
      <c r="AO41" s="594"/>
      <c r="AP41" s="584"/>
      <c r="AQ41" s="585"/>
      <c r="AR41" s="58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93"/>
      <c r="AH42" s="585"/>
      <c r="AI42" s="594"/>
      <c r="AJ42" s="584"/>
      <c r="AK42" s="585"/>
      <c r="AL42" s="594"/>
      <c r="AM42" s="584"/>
      <c r="AN42" s="585"/>
      <c r="AO42" s="594"/>
      <c r="AP42" s="584"/>
      <c r="AQ42" s="585"/>
      <c r="AR42" s="58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15" t="s">
        <v>18</v>
      </c>
      <c r="C43" s="516"/>
      <c r="D43" s="516"/>
      <c r="E43" s="516"/>
      <c r="F43" s="516"/>
      <c r="G43" s="516"/>
      <c r="H43" s="517"/>
      <c r="AG43" s="593"/>
      <c r="AH43" s="585"/>
      <c r="AI43" s="594"/>
      <c r="AJ43" s="584"/>
      <c r="AK43" s="585"/>
      <c r="AL43" s="594"/>
      <c r="AM43" s="584"/>
      <c r="AN43" s="585"/>
      <c r="AO43" s="594"/>
      <c r="AP43" s="584"/>
      <c r="AQ43" s="585"/>
      <c r="AR43" s="58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18" t="s">
        <v>19</v>
      </c>
      <c r="C44" s="519"/>
      <c r="D44" s="519"/>
      <c r="E44" s="520"/>
      <c r="F44" s="518" t="s">
        <v>20</v>
      </c>
      <c r="G44" s="519"/>
      <c r="H44" s="520"/>
      <c r="J44" s="426" t="str">
        <f>Ergebniseingabe!K48</f>
        <v>Gruppe A</v>
      </c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8"/>
      <c r="AG44" s="595"/>
      <c r="AH44" s="588"/>
      <c r="AI44" s="596"/>
      <c r="AJ44" s="587"/>
      <c r="AK44" s="588"/>
      <c r="AL44" s="596"/>
      <c r="AM44" s="587"/>
      <c r="AN44" s="588"/>
      <c r="AO44" s="596"/>
      <c r="AP44" s="587"/>
      <c r="AQ44" s="588"/>
      <c r="AR44" s="589"/>
      <c r="AS44" s="427" t="s">
        <v>21</v>
      </c>
      <c r="AT44" s="427"/>
      <c r="AU44" s="590"/>
      <c r="AV44" s="559" t="s">
        <v>22</v>
      </c>
      <c r="AW44" s="427"/>
      <c r="AX44" s="590"/>
      <c r="AY44" s="559" t="s">
        <v>23</v>
      </c>
      <c r="AZ44" s="427"/>
      <c r="BA44" s="590"/>
      <c r="BB44" s="559" t="s">
        <v>24</v>
      </c>
      <c r="BC44" s="427"/>
      <c r="BD44" s="590"/>
      <c r="BE44" s="560" t="s">
        <v>25</v>
      </c>
      <c r="BF44" s="560"/>
      <c r="BG44" s="560"/>
      <c r="BH44" s="560"/>
      <c r="BI44" s="560"/>
      <c r="BJ44" s="560" t="s">
        <v>26</v>
      </c>
      <c r="BK44" s="560"/>
      <c r="BL44" s="559"/>
      <c r="BM44" s="559" t="s">
        <v>27</v>
      </c>
      <c r="BN44" s="427"/>
      <c r="BO44" s="42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492">
        <f>IF(Ergebniseingabe!C49="","",Ergebniseingabe!C49)</f>
      </c>
      <c r="C45" s="492"/>
      <c r="D45" s="492"/>
      <c r="E45" s="492"/>
      <c r="F45" s="492">
        <f>IF(Ergebniseingabe!G49="","",Ergebniseingabe!G49)</f>
      </c>
      <c r="G45" s="492"/>
      <c r="H45" s="492"/>
      <c r="J45" s="442">
        <f>Ergebniseingabe!K49</f>
        <v>1</v>
      </c>
      <c r="K45" s="443"/>
      <c r="L45" s="457" t="str">
        <f>Ergebniseingabe!M49</f>
        <v>Spvg Steinhagen</v>
      </c>
      <c r="M45" s="458"/>
      <c r="N45" s="458"/>
      <c r="O45" s="458"/>
      <c r="P45" s="458"/>
      <c r="Q45" s="458"/>
      <c r="R45" s="458"/>
      <c r="S45" s="458"/>
      <c r="T45" s="458"/>
      <c r="U45" s="458"/>
      <c r="V45" s="458"/>
      <c r="W45" s="458"/>
      <c r="X45" s="458"/>
      <c r="Y45" s="458"/>
      <c r="Z45" s="458"/>
      <c r="AA45" s="458"/>
      <c r="AB45" s="458"/>
      <c r="AC45" s="458"/>
      <c r="AD45" s="458"/>
      <c r="AE45" s="458"/>
      <c r="AF45" s="458"/>
      <c r="AG45" s="447"/>
      <c r="AH45" s="447"/>
      <c r="AI45" s="448"/>
      <c r="AJ45" s="444" t="str">
        <f>Ergebniseingabe!AK49</f>
        <v>1:1</v>
      </c>
      <c r="AK45" s="445"/>
      <c r="AL45" s="446"/>
      <c r="AM45" s="444" t="str">
        <f>Ergebniseingabe!AN49</f>
        <v>2:0</v>
      </c>
      <c r="AN45" s="445"/>
      <c r="AO45" s="446"/>
      <c r="AP45" s="424" t="str">
        <f>Ergebniseingabe!AQ49</f>
        <v>4:1</v>
      </c>
      <c r="AQ45" s="425"/>
      <c r="AR45" s="425"/>
      <c r="AS45" s="425">
        <f>Ergebniseingabe!AT49</f>
        <v>3</v>
      </c>
      <c r="AT45" s="425"/>
      <c r="AU45" s="563"/>
      <c r="AV45" s="460">
        <f>Ergebniseingabe!AW49</f>
        <v>2</v>
      </c>
      <c r="AW45" s="460"/>
      <c r="AX45" s="460"/>
      <c r="AY45" s="460">
        <f>Ergebniseingabe!AZ49</f>
        <v>1</v>
      </c>
      <c r="AZ45" s="460"/>
      <c r="BA45" s="460"/>
      <c r="BB45" s="460">
        <f>Ergebniseingabe!BC49</f>
        <v>0</v>
      </c>
      <c r="BC45" s="460"/>
      <c r="BD45" s="460"/>
      <c r="BE45" s="445">
        <f>Ergebniseingabe!BF49</f>
        <v>7</v>
      </c>
      <c r="BF45" s="445"/>
      <c r="BG45" s="79" t="str">
        <f>Ergebniseingabe!BH49</f>
        <v>:</v>
      </c>
      <c r="BH45" s="446">
        <f>Ergebniseingabe!BI49</f>
        <v>2</v>
      </c>
      <c r="BI45" s="460"/>
      <c r="BJ45" s="561">
        <f>Ergebniseingabe!BK49</f>
        <v>5</v>
      </c>
      <c r="BK45" s="561"/>
      <c r="BL45" s="562"/>
      <c r="BM45" s="460">
        <f>Ergebniseingabe!BN49</f>
        <v>7</v>
      </c>
      <c r="BN45" s="460"/>
      <c r="BO45" s="42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492">
        <f>IF(Ergebniseingabe!C50="","",Ergebniseingabe!C50)</f>
      </c>
      <c r="C46" s="492"/>
      <c r="D46" s="492"/>
      <c r="E46" s="492"/>
      <c r="F46" s="492">
        <f>IF(Ergebniseingabe!G50="","",Ergebniseingabe!G50)</f>
      </c>
      <c r="G46" s="492"/>
      <c r="H46" s="492"/>
      <c r="J46" s="530">
        <f>Ergebniseingabe!K50</f>
        <v>2</v>
      </c>
      <c r="K46" s="531"/>
      <c r="L46" s="431" t="str">
        <f>Ergebniseingabe!M50</f>
        <v>FC Gütersloh</v>
      </c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61" t="str">
        <f>Ergebniseingabe!AH50</f>
        <v>1:1</v>
      </c>
      <c r="AH46" s="461"/>
      <c r="AI46" s="462"/>
      <c r="AJ46" s="452"/>
      <c r="AK46" s="453"/>
      <c r="AL46" s="454"/>
      <c r="AM46" s="449" t="str">
        <f>Ergebniseingabe!AN50</f>
        <v>1:0</v>
      </c>
      <c r="AN46" s="450"/>
      <c r="AO46" s="451"/>
      <c r="AP46" s="466" t="str">
        <f>Ergebniseingabe!AQ50</f>
        <v>1:1</v>
      </c>
      <c r="AQ46" s="461"/>
      <c r="AR46" s="461"/>
      <c r="AS46" s="461">
        <f>Ergebniseingabe!AT50</f>
        <v>3</v>
      </c>
      <c r="AT46" s="461"/>
      <c r="AU46" s="462"/>
      <c r="AV46" s="459">
        <f>Ergebniseingabe!AW50</f>
        <v>1</v>
      </c>
      <c r="AW46" s="459"/>
      <c r="AX46" s="459"/>
      <c r="AY46" s="459">
        <f>Ergebniseingabe!AZ50</f>
        <v>2</v>
      </c>
      <c r="AZ46" s="459"/>
      <c r="BA46" s="459"/>
      <c r="BB46" s="459">
        <f>Ergebniseingabe!BC50</f>
        <v>0</v>
      </c>
      <c r="BC46" s="459"/>
      <c r="BD46" s="459"/>
      <c r="BE46" s="450">
        <f>Ergebniseingabe!BF50</f>
        <v>3</v>
      </c>
      <c r="BF46" s="450"/>
      <c r="BG46" s="80" t="str">
        <f>Ergebniseingabe!BH50</f>
        <v>:</v>
      </c>
      <c r="BH46" s="451">
        <f>Ergebniseingabe!BI50</f>
        <v>2</v>
      </c>
      <c r="BI46" s="459"/>
      <c r="BJ46" s="557">
        <f>Ergebniseingabe!BK50</f>
        <v>1</v>
      </c>
      <c r="BK46" s="557"/>
      <c r="BL46" s="558"/>
      <c r="BM46" s="459">
        <f>Ergebniseingabe!BN50</f>
        <v>5</v>
      </c>
      <c r="BN46" s="459"/>
      <c r="BO46" s="46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492">
        <f>IF(Ergebniseingabe!C51="","",Ergebniseingabe!C51)</f>
      </c>
      <c r="C47" s="492"/>
      <c r="D47" s="492"/>
      <c r="E47" s="492"/>
      <c r="F47" s="492">
        <f>IF(Ergebniseingabe!G51="","",Ergebniseingabe!G51)</f>
      </c>
      <c r="G47" s="492"/>
      <c r="H47" s="492"/>
      <c r="J47" s="530">
        <f>Ergebniseingabe!K51</f>
        <v>3</v>
      </c>
      <c r="K47" s="531"/>
      <c r="L47" s="431" t="str">
        <f>Ergebniseingabe!M51</f>
        <v>SV Spexard</v>
      </c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61" t="str">
        <f>Ergebniseingabe!AH51</f>
        <v>0:2</v>
      </c>
      <c r="AH47" s="461"/>
      <c r="AI47" s="462"/>
      <c r="AJ47" s="449" t="str">
        <f>Ergebniseingabe!AK51</f>
        <v>0:1</v>
      </c>
      <c r="AK47" s="450"/>
      <c r="AL47" s="451"/>
      <c r="AM47" s="452"/>
      <c r="AN47" s="453"/>
      <c r="AO47" s="454"/>
      <c r="AP47" s="466" t="str">
        <f>Ergebniseingabe!AQ51</f>
        <v>2:0</v>
      </c>
      <c r="AQ47" s="461"/>
      <c r="AR47" s="461"/>
      <c r="AS47" s="461">
        <f>Ergebniseingabe!AT51</f>
        <v>3</v>
      </c>
      <c r="AT47" s="461"/>
      <c r="AU47" s="462"/>
      <c r="AV47" s="459">
        <f>Ergebniseingabe!AW51</f>
        <v>1</v>
      </c>
      <c r="AW47" s="459"/>
      <c r="AX47" s="459"/>
      <c r="AY47" s="459">
        <f>Ergebniseingabe!AZ51</f>
        <v>0</v>
      </c>
      <c r="AZ47" s="459"/>
      <c r="BA47" s="459"/>
      <c r="BB47" s="459">
        <f>Ergebniseingabe!BC51</f>
        <v>2</v>
      </c>
      <c r="BC47" s="459"/>
      <c r="BD47" s="459"/>
      <c r="BE47" s="450">
        <f>Ergebniseingabe!BF51</f>
        <v>2</v>
      </c>
      <c r="BF47" s="450"/>
      <c r="BG47" s="80" t="str">
        <f>Ergebniseingabe!BH51</f>
        <v>:</v>
      </c>
      <c r="BH47" s="451">
        <f>Ergebniseingabe!BI51</f>
        <v>3</v>
      </c>
      <c r="BI47" s="459"/>
      <c r="BJ47" s="557">
        <f>Ergebniseingabe!BK51</f>
        <v>-1</v>
      </c>
      <c r="BK47" s="557"/>
      <c r="BL47" s="558"/>
      <c r="BM47" s="459">
        <f>Ergebniseingabe!BN51</f>
        <v>3</v>
      </c>
      <c r="BN47" s="459"/>
      <c r="BO47" s="46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492">
        <f>IF(Ergebniseingabe!C52="","",Ergebniseingabe!C52)</f>
      </c>
      <c r="C48" s="492"/>
      <c r="D48" s="492"/>
      <c r="E48" s="492"/>
      <c r="F48" s="492">
        <f>IF(Ergebniseingabe!G52="","",Ergebniseingabe!G52)</f>
      </c>
      <c r="G48" s="492"/>
      <c r="H48" s="492"/>
      <c r="J48" s="608">
        <f>Ergebniseingabe!K52</f>
        <v>4</v>
      </c>
      <c r="K48" s="609"/>
      <c r="L48" s="429" t="str">
        <f>Ergebniseingabe!M52</f>
        <v>SCE Gütersloh</v>
      </c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55" t="str">
        <f>Ergebniseingabe!AH52</f>
        <v>1:4</v>
      </c>
      <c r="AH48" s="455"/>
      <c r="AI48" s="456"/>
      <c r="AJ48" s="463" t="str">
        <f>Ergebniseingabe!AK52</f>
        <v>1:1</v>
      </c>
      <c r="AK48" s="464"/>
      <c r="AL48" s="465"/>
      <c r="AM48" s="463" t="str">
        <f>Ergebniseingabe!AN52</f>
        <v>0:2</v>
      </c>
      <c r="AN48" s="464"/>
      <c r="AO48" s="465"/>
      <c r="AP48" s="467"/>
      <c r="AQ48" s="468"/>
      <c r="AR48" s="468"/>
      <c r="AS48" s="455">
        <f>Ergebniseingabe!AT52</f>
        <v>3</v>
      </c>
      <c r="AT48" s="455"/>
      <c r="AU48" s="456"/>
      <c r="AV48" s="535">
        <f>Ergebniseingabe!AW52</f>
        <v>0</v>
      </c>
      <c r="AW48" s="535"/>
      <c r="AX48" s="535"/>
      <c r="AY48" s="535">
        <f>Ergebniseingabe!AZ52</f>
        <v>1</v>
      </c>
      <c r="AZ48" s="535"/>
      <c r="BA48" s="535"/>
      <c r="BB48" s="535">
        <f>Ergebniseingabe!BC52</f>
        <v>2</v>
      </c>
      <c r="BC48" s="535"/>
      <c r="BD48" s="535"/>
      <c r="BE48" s="464">
        <f>Ergebniseingabe!BF52</f>
        <v>2</v>
      </c>
      <c r="BF48" s="464"/>
      <c r="BG48" s="81" t="str">
        <f>Ergebniseingabe!BH52</f>
        <v>:</v>
      </c>
      <c r="BH48" s="465">
        <f>Ergebniseingabe!BI52</f>
        <v>7</v>
      </c>
      <c r="BI48" s="535"/>
      <c r="BJ48" s="568">
        <f>Ergebniseingabe!BK52</f>
        <v>-5</v>
      </c>
      <c r="BK48" s="568"/>
      <c r="BL48" s="569"/>
      <c r="BM48" s="535">
        <f>Ergebniseingabe!BN52</f>
        <v>1</v>
      </c>
      <c r="BN48" s="535"/>
      <c r="BO48" s="56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548" t="str">
        <f>L58</f>
        <v>FA Herringhausen-Eickum</v>
      </c>
      <c r="AH50" s="538"/>
      <c r="AI50" s="539"/>
      <c r="AJ50" s="537" t="str">
        <f>L59</f>
        <v>TuS Eintracht Bielefeld</v>
      </c>
      <c r="AK50" s="538"/>
      <c r="AL50" s="539"/>
      <c r="AM50" s="537" t="str">
        <f>L60</f>
        <v>FC Sürenheide</v>
      </c>
      <c r="AN50" s="538"/>
      <c r="AO50" s="539"/>
      <c r="AP50" s="537" t="str">
        <f>L61</f>
        <v>Herzebrocker SV</v>
      </c>
      <c r="AQ50" s="538"/>
      <c r="AR50" s="552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549"/>
      <c r="AH51" s="541"/>
      <c r="AI51" s="542"/>
      <c r="AJ51" s="540"/>
      <c r="AK51" s="541"/>
      <c r="AL51" s="542"/>
      <c r="AM51" s="540"/>
      <c r="AN51" s="541"/>
      <c r="AO51" s="542"/>
      <c r="AP51" s="540"/>
      <c r="AQ51" s="541"/>
      <c r="AR51" s="553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549"/>
      <c r="AH52" s="541"/>
      <c r="AI52" s="542"/>
      <c r="AJ52" s="540"/>
      <c r="AK52" s="541"/>
      <c r="AL52" s="542"/>
      <c r="AM52" s="540"/>
      <c r="AN52" s="541"/>
      <c r="AO52" s="542"/>
      <c r="AP52" s="540"/>
      <c r="AQ52" s="541"/>
      <c r="AR52" s="553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549"/>
      <c r="AH53" s="541"/>
      <c r="AI53" s="542"/>
      <c r="AJ53" s="540"/>
      <c r="AK53" s="541"/>
      <c r="AL53" s="542"/>
      <c r="AM53" s="540"/>
      <c r="AN53" s="541"/>
      <c r="AO53" s="542"/>
      <c r="AP53" s="540"/>
      <c r="AQ53" s="541"/>
      <c r="AR53" s="553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549"/>
      <c r="AH54" s="541"/>
      <c r="AI54" s="542"/>
      <c r="AJ54" s="540"/>
      <c r="AK54" s="541"/>
      <c r="AL54" s="542"/>
      <c r="AM54" s="540"/>
      <c r="AN54" s="541"/>
      <c r="AO54" s="542"/>
      <c r="AP54" s="540"/>
      <c r="AQ54" s="541"/>
      <c r="AR54" s="553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549"/>
      <c r="AH55" s="541"/>
      <c r="AI55" s="542"/>
      <c r="AJ55" s="540"/>
      <c r="AK55" s="541"/>
      <c r="AL55" s="542"/>
      <c r="AM55" s="540"/>
      <c r="AN55" s="541"/>
      <c r="AO55" s="542"/>
      <c r="AP55" s="540"/>
      <c r="AQ55" s="541"/>
      <c r="AR55" s="553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15" t="s">
        <v>18</v>
      </c>
      <c r="C56" s="516"/>
      <c r="D56" s="516"/>
      <c r="E56" s="516"/>
      <c r="F56" s="516"/>
      <c r="G56" s="516"/>
      <c r="H56" s="517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549"/>
      <c r="AH56" s="541"/>
      <c r="AI56" s="542"/>
      <c r="AJ56" s="540"/>
      <c r="AK56" s="541"/>
      <c r="AL56" s="542"/>
      <c r="AM56" s="540"/>
      <c r="AN56" s="541"/>
      <c r="AO56" s="542"/>
      <c r="AP56" s="540"/>
      <c r="AQ56" s="541"/>
      <c r="AR56" s="553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18" t="s">
        <v>19</v>
      </c>
      <c r="C57" s="519"/>
      <c r="D57" s="519"/>
      <c r="E57" s="520"/>
      <c r="F57" s="518" t="s">
        <v>20</v>
      </c>
      <c r="G57" s="519"/>
      <c r="H57" s="520"/>
      <c r="J57" s="532" t="str">
        <f>Ergebniseingabe!K61</f>
        <v>Gruppe B</v>
      </c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533"/>
      <c r="Y57" s="533"/>
      <c r="Z57" s="533"/>
      <c r="AA57" s="533"/>
      <c r="AB57" s="533"/>
      <c r="AC57" s="533"/>
      <c r="AD57" s="533"/>
      <c r="AE57" s="533"/>
      <c r="AF57" s="534"/>
      <c r="AG57" s="550"/>
      <c r="AH57" s="544"/>
      <c r="AI57" s="545"/>
      <c r="AJ57" s="543"/>
      <c r="AK57" s="544"/>
      <c r="AL57" s="545"/>
      <c r="AM57" s="543"/>
      <c r="AN57" s="544"/>
      <c r="AO57" s="545"/>
      <c r="AP57" s="543"/>
      <c r="AQ57" s="544"/>
      <c r="AR57" s="554"/>
      <c r="AS57" s="556" t="s">
        <v>21</v>
      </c>
      <c r="AT57" s="555"/>
      <c r="AU57" s="555"/>
      <c r="AV57" s="555" t="s">
        <v>22</v>
      </c>
      <c r="AW57" s="555"/>
      <c r="AX57" s="555"/>
      <c r="AY57" s="555" t="s">
        <v>23</v>
      </c>
      <c r="AZ57" s="555"/>
      <c r="BA57" s="555"/>
      <c r="BB57" s="555" t="s">
        <v>24</v>
      </c>
      <c r="BC57" s="555"/>
      <c r="BD57" s="555"/>
      <c r="BE57" s="555" t="s">
        <v>25</v>
      </c>
      <c r="BF57" s="555"/>
      <c r="BG57" s="555"/>
      <c r="BH57" s="555"/>
      <c r="BI57" s="555"/>
      <c r="BJ57" s="555" t="s">
        <v>26</v>
      </c>
      <c r="BK57" s="555"/>
      <c r="BL57" s="565"/>
      <c r="BM57" s="555" t="s">
        <v>27</v>
      </c>
      <c r="BN57" s="555"/>
      <c r="BO57" s="56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23">
        <f>IF(Ergebniseingabe!C62="","",Ergebniseingabe!C62)</f>
      </c>
      <c r="C58" s="423"/>
      <c r="D58" s="423"/>
      <c r="E58" s="423"/>
      <c r="F58" s="423">
        <f>IF(Ergebniseingabe!G62="","",Ergebniseingabe!G62)</f>
      </c>
      <c r="G58" s="423"/>
      <c r="H58" s="423"/>
      <c r="J58" s="442">
        <f>Ergebniseingabe!K62</f>
        <v>1</v>
      </c>
      <c r="K58" s="443"/>
      <c r="L58" s="457" t="str">
        <f>Ergebniseingabe!M62</f>
        <v>FA Herringhausen-Eickum</v>
      </c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47"/>
      <c r="AH58" s="447"/>
      <c r="AI58" s="448"/>
      <c r="AJ58" s="460" t="str">
        <f>Ergebniseingabe!AK62</f>
        <v>0:0</v>
      </c>
      <c r="AK58" s="460"/>
      <c r="AL58" s="460"/>
      <c r="AM58" s="460" t="str">
        <f>Ergebniseingabe!AN62</f>
        <v>2:0</v>
      </c>
      <c r="AN58" s="460"/>
      <c r="AO58" s="460"/>
      <c r="AP58" s="424" t="str">
        <f>Ergebniseingabe!AQ62</f>
        <v>6:0</v>
      </c>
      <c r="AQ58" s="425"/>
      <c r="AR58" s="425"/>
      <c r="AS58" s="425">
        <f>Ergebniseingabe!AT62</f>
        <v>3</v>
      </c>
      <c r="AT58" s="425"/>
      <c r="AU58" s="563"/>
      <c r="AV58" s="444">
        <f>Ergebniseingabe!AW62</f>
        <v>2</v>
      </c>
      <c r="AW58" s="445"/>
      <c r="AX58" s="446"/>
      <c r="AY58" s="444">
        <f>Ergebniseingabe!AZ62</f>
        <v>1</v>
      </c>
      <c r="AZ58" s="445"/>
      <c r="BA58" s="446"/>
      <c r="BB58" s="444">
        <f>Ergebniseingabe!BC62</f>
        <v>0</v>
      </c>
      <c r="BC58" s="445"/>
      <c r="BD58" s="446"/>
      <c r="BE58" s="445">
        <f>Ergebniseingabe!BF62</f>
        <v>8</v>
      </c>
      <c r="BF58" s="445"/>
      <c r="BG58" s="79" t="str">
        <f>Ergebniseingabe!BH62</f>
        <v>:</v>
      </c>
      <c r="BH58" s="446">
        <f>Ergebniseingabe!BI62</f>
        <v>0</v>
      </c>
      <c r="BI58" s="460"/>
      <c r="BJ58" s="561">
        <f>Ergebniseingabe!BK62</f>
        <v>8</v>
      </c>
      <c r="BK58" s="561"/>
      <c r="BL58" s="562"/>
      <c r="BM58" s="444">
        <f>Ergebniseingabe!BN62</f>
        <v>7</v>
      </c>
      <c r="BN58" s="445"/>
      <c r="BO58" s="56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23">
        <f>IF(Ergebniseingabe!C63="","",Ergebniseingabe!C63)</f>
      </c>
      <c r="C59" s="423"/>
      <c r="D59" s="423"/>
      <c r="E59" s="423"/>
      <c r="F59" s="423">
        <f>IF(Ergebniseingabe!G63="","",Ergebniseingabe!G63)</f>
      </c>
      <c r="G59" s="423"/>
      <c r="H59" s="423"/>
      <c r="J59" s="530">
        <f>Ergebniseingabe!K63</f>
        <v>2</v>
      </c>
      <c r="K59" s="531"/>
      <c r="L59" s="431" t="str">
        <f>Ergebniseingabe!M63</f>
        <v>TuS Eintracht Bielefeld</v>
      </c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61" t="str">
        <f>Ergebniseingabe!AH63</f>
        <v>0:0</v>
      </c>
      <c r="AH59" s="461"/>
      <c r="AI59" s="462"/>
      <c r="AJ59" s="536"/>
      <c r="AK59" s="536"/>
      <c r="AL59" s="536"/>
      <c r="AM59" s="459" t="str">
        <f>Ergebniseingabe!AN63</f>
        <v>4:0</v>
      </c>
      <c r="AN59" s="459"/>
      <c r="AO59" s="459"/>
      <c r="AP59" s="466" t="str">
        <f>Ergebniseingabe!AQ63</f>
        <v>4:2</v>
      </c>
      <c r="AQ59" s="461"/>
      <c r="AR59" s="461"/>
      <c r="AS59" s="461">
        <f>Ergebniseingabe!AT63</f>
        <v>3</v>
      </c>
      <c r="AT59" s="461"/>
      <c r="AU59" s="462"/>
      <c r="AV59" s="449">
        <f>Ergebniseingabe!AW63</f>
        <v>2</v>
      </c>
      <c r="AW59" s="450"/>
      <c r="AX59" s="451"/>
      <c r="AY59" s="449">
        <f>Ergebniseingabe!AZ63</f>
        <v>1</v>
      </c>
      <c r="AZ59" s="450"/>
      <c r="BA59" s="451"/>
      <c r="BB59" s="449">
        <f>Ergebniseingabe!BC63</f>
        <v>0</v>
      </c>
      <c r="BC59" s="450"/>
      <c r="BD59" s="451"/>
      <c r="BE59" s="450">
        <f>Ergebniseingabe!BF63</f>
        <v>8</v>
      </c>
      <c r="BF59" s="450"/>
      <c r="BG59" s="80" t="str">
        <f>Ergebniseingabe!BH63</f>
        <v>:</v>
      </c>
      <c r="BH59" s="451">
        <f>Ergebniseingabe!BI63</f>
        <v>2</v>
      </c>
      <c r="BI59" s="459"/>
      <c r="BJ59" s="557">
        <f>Ergebniseingabe!BK63</f>
        <v>6</v>
      </c>
      <c r="BK59" s="557"/>
      <c r="BL59" s="558"/>
      <c r="BM59" s="449">
        <f>Ergebniseingabe!BN63</f>
        <v>7</v>
      </c>
      <c r="BN59" s="450"/>
      <c r="BO59" s="547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23">
        <f>IF(Ergebniseingabe!C64="","",Ergebniseingabe!C64)</f>
      </c>
      <c r="C60" s="423"/>
      <c r="D60" s="423"/>
      <c r="E60" s="423"/>
      <c r="F60" s="423">
        <f>IF(Ergebniseingabe!G64="","",Ergebniseingabe!G64)</f>
      </c>
      <c r="G60" s="423"/>
      <c r="H60" s="423"/>
      <c r="J60" s="530">
        <f>Ergebniseingabe!K64</f>
        <v>3</v>
      </c>
      <c r="K60" s="531"/>
      <c r="L60" s="431" t="str">
        <f>Ergebniseingabe!M64</f>
        <v>FC Sürenheide</v>
      </c>
      <c r="M60" s="432"/>
      <c r="N60" s="432"/>
      <c r="O60" s="432"/>
      <c r="P60" s="432"/>
      <c r="Q60" s="432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432"/>
      <c r="AC60" s="432"/>
      <c r="AD60" s="432"/>
      <c r="AE60" s="432"/>
      <c r="AF60" s="432"/>
      <c r="AG60" s="461" t="str">
        <f>Ergebniseingabe!AH64</f>
        <v>0:2</v>
      </c>
      <c r="AH60" s="461"/>
      <c r="AI60" s="462"/>
      <c r="AJ60" s="459" t="str">
        <f>Ergebniseingabe!AK64</f>
        <v>0:4</v>
      </c>
      <c r="AK60" s="459"/>
      <c r="AL60" s="459"/>
      <c r="AM60" s="536"/>
      <c r="AN60" s="536"/>
      <c r="AO60" s="536"/>
      <c r="AP60" s="466" t="str">
        <f>Ergebniseingabe!AQ64</f>
        <v>1:0</v>
      </c>
      <c r="AQ60" s="461"/>
      <c r="AR60" s="461"/>
      <c r="AS60" s="461">
        <f>Ergebniseingabe!AT64</f>
        <v>3</v>
      </c>
      <c r="AT60" s="461"/>
      <c r="AU60" s="462"/>
      <c r="AV60" s="449">
        <f>Ergebniseingabe!AW64</f>
        <v>1</v>
      </c>
      <c r="AW60" s="450"/>
      <c r="AX60" s="451"/>
      <c r="AY60" s="449">
        <f>Ergebniseingabe!AZ64</f>
        <v>0</v>
      </c>
      <c r="AZ60" s="450"/>
      <c r="BA60" s="451"/>
      <c r="BB60" s="449">
        <f>Ergebniseingabe!BC64</f>
        <v>2</v>
      </c>
      <c r="BC60" s="450"/>
      <c r="BD60" s="451"/>
      <c r="BE60" s="450">
        <f>Ergebniseingabe!BF64</f>
        <v>1</v>
      </c>
      <c r="BF60" s="450"/>
      <c r="BG60" s="80" t="str">
        <f>Ergebniseingabe!BH64</f>
        <v>:</v>
      </c>
      <c r="BH60" s="451">
        <f>Ergebniseingabe!BI64</f>
        <v>6</v>
      </c>
      <c r="BI60" s="459"/>
      <c r="BJ60" s="557">
        <f>Ergebniseingabe!BK64</f>
        <v>-5</v>
      </c>
      <c r="BK60" s="557"/>
      <c r="BL60" s="558"/>
      <c r="BM60" s="449">
        <f>Ergebniseingabe!BN64</f>
        <v>3</v>
      </c>
      <c r="BN60" s="450"/>
      <c r="BO60" s="547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23">
        <f>IF(Ergebniseingabe!C65="","",Ergebniseingabe!C65)</f>
      </c>
      <c r="C61" s="423"/>
      <c r="D61" s="423"/>
      <c r="E61" s="423"/>
      <c r="F61" s="423">
        <f>IF(Ergebniseingabe!G65="","",Ergebniseingabe!G65)</f>
      </c>
      <c r="G61" s="423"/>
      <c r="H61" s="423"/>
      <c r="J61" s="608">
        <f>Ergebniseingabe!K65</f>
        <v>4</v>
      </c>
      <c r="K61" s="609"/>
      <c r="L61" s="429" t="str">
        <f>Ergebniseingabe!M65</f>
        <v>Herzebrocker SV</v>
      </c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55" t="str">
        <f>Ergebniseingabe!AH65</f>
        <v>0:6</v>
      </c>
      <c r="AH61" s="455"/>
      <c r="AI61" s="456"/>
      <c r="AJ61" s="535" t="str">
        <f>Ergebniseingabe!AK65</f>
        <v>2:4</v>
      </c>
      <c r="AK61" s="535"/>
      <c r="AL61" s="535"/>
      <c r="AM61" s="535" t="str">
        <f>Ergebniseingabe!AN65</f>
        <v>0:1</v>
      </c>
      <c r="AN61" s="535"/>
      <c r="AO61" s="535"/>
      <c r="AP61" s="467"/>
      <c r="AQ61" s="468"/>
      <c r="AR61" s="468"/>
      <c r="AS61" s="455">
        <f>Ergebniseingabe!AT65</f>
        <v>3</v>
      </c>
      <c r="AT61" s="455"/>
      <c r="AU61" s="456"/>
      <c r="AV61" s="463">
        <f>Ergebniseingabe!AW65</f>
        <v>0</v>
      </c>
      <c r="AW61" s="464"/>
      <c r="AX61" s="465"/>
      <c r="AY61" s="463">
        <f>Ergebniseingabe!AZ65</f>
        <v>0</v>
      </c>
      <c r="AZ61" s="464"/>
      <c r="BA61" s="465"/>
      <c r="BB61" s="463">
        <f>Ergebniseingabe!BC65</f>
        <v>3</v>
      </c>
      <c r="BC61" s="464"/>
      <c r="BD61" s="465"/>
      <c r="BE61" s="464">
        <f>Ergebniseingabe!BF65</f>
        <v>2</v>
      </c>
      <c r="BF61" s="464"/>
      <c r="BG61" s="81" t="str">
        <f>Ergebniseingabe!BH65</f>
        <v>:</v>
      </c>
      <c r="BH61" s="465">
        <f>Ergebniseingabe!BI65</f>
        <v>11</v>
      </c>
      <c r="BI61" s="535"/>
      <c r="BJ61" s="568">
        <f>Ergebniseingabe!BK65</f>
        <v>-9</v>
      </c>
      <c r="BK61" s="568"/>
      <c r="BL61" s="569"/>
      <c r="BM61" s="463">
        <f>Ergebniseingabe!BN65</f>
        <v>0</v>
      </c>
      <c r="BN61" s="464"/>
      <c r="BO61" s="546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13" t="str">
        <f>$B$2</f>
        <v>Vereinsname</v>
      </c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3"/>
      <c r="Y64" s="513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513"/>
      <c r="AK64" s="513"/>
      <c r="AL64" s="513"/>
      <c r="AM64" s="513"/>
      <c r="AN64" s="513"/>
      <c r="AO64" s="513"/>
      <c r="AP64" s="513"/>
      <c r="AQ64" s="513"/>
      <c r="AR64" s="513"/>
      <c r="AS64" s="513"/>
      <c r="AT64" s="513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91" t="str">
        <f>$B$3</f>
        <v>E3-Junioren</v>
      </c>
      <c r="C65" s="491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  <c r="AT65" s="491"/>
      <c r="AV65" s="207" t="s">
        <v>63</v>
      </c>
      <c r="AW65" s="207"/>
      <c r="AX65" s="207"/>
      <c r="AY65" s="207"/>
      <c r="AZ65" s="207"/>
      <c r="BA65" s="207"/>
      <c r="BB65" s="207"/>
      <c r="BC65" s="207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28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14">
        <f>B6</f>
        <v>0</v>
      </c>
      <c r="C69" s="514"/>
      <c r="D69" s="514"/>
      <c r="E69" s="514"/>
      <c r="F69" s="514"/>
      <c r="G69" s="514"/>
      <c r="H69" s="514"/>
      <c r="I69" s="514"/>
      <c r="J69" s="514"/>
      <c r="K69" s="514"/>
      <c r="L69" s="514"/>
      <c r="M69" s="514"/>
      <c r="N69" s="514"/>
      <c r="O69" s="514"/>
      <c r="P69" s="514"/>
      <c r="Q69" s="514"/>
      <c r="R69" s="514"/>
      <c r="S69" s="514"/>
      <c r="T69" s="514"/>
      <c r="U69" s="514"/>
      <c r="V69" s="514"/>
      <c r="W69" s="514"/>
      <c r="X69" s="514"/>
      <c r="Y69" s="514"/>
      <c r="Z69" s="514"/>
      <c r="AA69" s="514"/>
      <c r="AB69" s="514"/>
      <c r="AC69" s="514"/>
      <c r="AD69" s="514"/>
      <c r="AE69" s="514"/>
      <c r="AF69" s="514"/>
      <c r="AG69" s="514"/>
      <c r="AH69" s="514"/>
      <c r="AI69" s="514"/>
      <c r="AJ69" s="514"/>
      <c r="AK69" s="514"/>
      <c r="AL69" s="514"/>
      <c r="AM69" s="514"/>
      <c r="AN69" s="514"/>
      <c r="AO69" s="514"/>
      <c r="AP69" s="514"/>
      <c r="AQ69" s="514"/>
      <c r="AR69" s="514"/>
      <c r="AS69" s="514"/>
      <c r="AT69" s="514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04" t="s">
        <v>64</v>
      </c>
      <c r="B71" s="604"/>
      <c r="C71" s="604"/>
      <c r="D71" s="604"/>
      <c r="E71" s="604"/>
      <c r="F71" s="604"/>
      <c r="G71" s="605">
        <f>Ergebniseingabe!H70</f>
        <v>0.5236111111111112</v>
      </c>
      <c r="H71" s="605"/>
      <c r="I71" s="605"/>
      <c r="J71" s="605"/>
      <c r="K71" s="95" t="s">
        <v>2</v>
      </c>
      <c r="S71" s="100" t="s">
        <v>3</v>
      </c>
      <c r="T71" s="606">
        <f>Ergebniseingabe!U70</f>
        <v>1</v>
      </c>
      <c r="U71" s="606"/>
      <c r="V71" s="101" t="s">
        <v>4</v>
      </c>
      <c r="W71" s="607">
        <f>Ergebniseingabe!X70</f>
        <v>10</v>
      </c>
      <c r="X71" s="607"/>
      <c r="Y71" s="607"/>
      <c r="Z71" s="607"/>
      <c r="AA71" s="607"/>
      <c r="AB71" s="610">
        <f>Ergebniseingabe!AC70</f>
      </c>
      <c r="AC71" s="610"/>
      <c r="AD71" s="610"/>
      <c r="AE71" s="610"/>
      <c r="AF71" s="610"/>
      <c r="AG71" s="610"/>
      <c r="AH71" s="607">
        <f>Ergebniseingabe!AI70</f>
        <v>0</v>
      </c>
      <c r="AI71" s="607"/>
      <c r="AJ71" s="607"/>
      <c r="AK71" s="607"/>
      <c r="AL71" s="607"/>
      <c r="AM71" s="604" t="s">
        <v>5</v>
      </c>
      <c r="AN71" s="604"/>
      <c r="AO71" s="604"/>
      <c r="AP71" s="604"/>
      <c r="AQ71" s="604"/>
      <c r="AR71" s="604"/>
      <c r="AS71" s="604"/>
      <c r="AT71" s="604"/>
      <c r="AU71" s="604"/>
      <c r="AV71" s="622">
        <f>Ergebniseingabe!AW70</f>
        <v>2</v>
      </c>
      <c r="AW71" s="622"/>
      <c r="AX71" s="622"/>
      <c r="AY71" s="622"/>
      <c r="AZ71" s="622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1" t="s">
        <v>11</v>
      </c>
      <c r="C73" s="551"/>
      <c r="D73" s="551" t="s">
        <v>65</v>
      </c>
      <c r="E73" s="551"/>
      <c r="F73" s="551"/>
      <c r="G73" s="551"/>
      <c r="H73" s="421" t="s">
        <v>29</v>
      </c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22"/>
      <c r="AY73" s="551" t="s">
        <v>14</v>
      </c>
      <c r="AZ73" s="551"/>
      <c r="BA73" s="551"/>
      <c r="BB73" s="551"/>
      <c r="BC73" s="421"/>
      <c r="BD73" s="418"/>
      <c r="BE73" s="419"/>
      <c r="BF73" s="419"/>
      <c r="BG73" s="42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97">
        <v>13</v>
      </c>
      <c r="C74" s="498"/>
      <c r="D74" s="501">
        <f>Ergebniseingabe!E73</f>
        <v>0</v>
      </c>
      <c r="E74" s="501"/>
      <c r="F74" s="501"/>
      <c r="G74" s="501"/>
      <c r="H74" s="508">
        <f>Ergebniseingabe!I73</f>
        <v>0</v>
      </c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110" t="s">
        <v>16</v>
      </c>
      <c r="AD74" s="506">
        <f>Ergebniseingabe!AE73</f>
        <v>0</v>
      </c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06"/>
      <c r="AX74" s="507"/>
      <c r="AY74" s="484">
        <f>IF(Ergebniseingabe!AZ73="","",Ergebniseingabe!AZ73)</f>
      </c>
      <c r="AZ74" s="484"/>
      <c r="BA74" s="485"/>
      <c r="BB74" s="496">
        <f>IF(Ergebniseingabe!BC73="","",Ergebniseingabe!BC73)</f>
      </c>
      <c r="BC74" s="496"/>
      <c r="BD74" s="415">
        <f>IF(Ergebniseingabe!BE73="","",Ergebniseingabe!BE73)</f>
      </c>
      <c r="BE74" s="416"/>
      <c r="BF74" s="416"/>
      <c r="BG74" s="41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99"/>
      <c r="C75" s="500"/>
      <c r="D75" s="502"/>
      <c r="E75" s="502"/>
      <c r="F75" s="502"/>
      <c r="G75" s="502"/>
      <c r="H75" s="512" t="s">
        <v>30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31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486"/>
      <c r="AZ75" s="486"/>
      <c r="BA75" s="486"/>
      <c r="BB75" s="486"/>
      <c r="BC75" s="487"/>
      <c r="BD75" s="433"/>
      <c r="BE75" s="434"/>
      <c r="BF75" s="434"/>
      <c r="BG75" s="43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1" t="s">
        <v>11</v>
      </c>
      <c r="C77" s="551"/>
      <c r="D77" s="551" t="s">
        <v>65</v>
      </c>
      <c r="E77" s="551"/>
      <c r="F77" s="551"/>
      <c r="G77" s="551"/>
      <c r="H77" s="421" t="s">
        <v>32</v>
      </c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19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  <c r="AW77" s="419"/>
      <c r="AX77" s="422"/>
      <c r="AY77" s="551" t="s">
        <v>14</v>
      </c>
      <c r="AZ77" s="551"/>
      <c r="BA77" s="551"/>
      <c r="BB77" s="551"/>
      <c r="BC77" s="421"/>
      <c r="BD77" s="418"/>
      <c r="BE77" s="419"/>
      <c r="BF77" s="419"/>
      <c r="BG77" s="42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97">
        <v>14</v>
      </c>
      <c r="C78" s="498"/>
      <c r="D78" s="501">
        <f>Ergebniseingabe!E77</f>
        <v>0</v>
      </c>
      <c r="E78" s="501"/>
      <c r="F78" s="501"/>
      <c r="G78" s="501"/>
      <c r="H78" s="508">
        <f>Ergebniseingabe!I77</f>
        <v>0</v>
      </c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110" t="s">
        <v>16</v>
      </c>
      <c r="AD78" s="506">
        <f>Ergebniseingabe!AE77</f>
        <v>0</v>
      </c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506"/>
      <c r="AW78" s="506"/>
      <c r="AX78" s="507"/>
      <c r="AY78" s="484">
        <f>IF(Ergebniseingabe!AZ77="","",Ergebniseingabe!AZ77)</f>
      </c>
      <c r="AZ78" s="484"/>
      <c r="BA78" s="485"/>
      <c r="BB78" s="496">
        <f>IF(Ergebniseingabe!BC77="","",Ergebniseingabe!BC77)</f>
      </c>
      <c r="BC78" s="496"/>
      <c r="BD78" s="415">
        <f>IF(Ergebniseingabe!BE77="","",Ergebniseingabe!BE77)</f>
      </c>
      <c r="BE78" s="416"/>
      <c r="BF78" s="416"/>
      <c r="BG78" s="41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99"/>
      <c r="C79" s="500"/>
      <c r="D79" s="502"/>
      <c r="E79" s="502"/>
      <c r="F79" s="502"/>
      <c r="G79" s="502"/>
      <c r="H79" s="512" t="s">
        <v>33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34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486"/>
      <c r="AZ79" s="486"/>
      <c r="BA79" s="486"/>
      <c r="BB79" s="486"/>
      <c r="BC79" s="487"/>
      <c r="BD79" s="433"/>
      <c r="BE79" s="434"/>
      <c r="BF79" s="434"/>
      <c r="BG79" s="43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493" t="s">
        <v>11</v>
      </c>
      <c r="C81" s="494"/>
      <c r="D81" s="494" t="s">
        <v>65</v>
      </c>
      <c r="E81" s="494"/>
      <c r="F81" s="494"/>
      <c r="G81" s="494"/>
      <c r="H81" s="495" t="s">
        <v>35</v>
      </c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/>
      <c r="AV81" s="440"/>
      <c r="AW81" s="440"/>
      <c r="AX81" s="503"/>
      <c r="AY81" s="494" t="s">
        <v>14</v>
      </c>
      <c r="AZ81" s="494"/>
      <c r="BA81" s="494"/>
      <c r="BB81" s="494"/>
      <c r="BC81" s="495"/>
      <c r="BD81" s="439"/>
      <c r="BE81" s="440"/>
      <c r="BF81" s="440"/>
      <c r="BG81" s="44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97">
        <v>15</v>
      </c>
      <c r="C82" s="498"/>
      <c r="D82" s="501">
        <f>Ergebniseingabe!E81</f>
        <v>0</v>
      </c>
      <c r="E82" s="501"/>
      <c r="F82" s="501"/>
      <c r="G82" s="501"/>
      <c r="H82" s="508">
        <f>Ergebniseingabe!I81</f>
        <v>0</v>
      </c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110" t="s">
        <v>16</v>
      </c>
      <c r="AD82" s="506">
        <f>Ergebniseingabe!AE81</f>
        <v>0</v>
      </c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506"/>
      <c r="AW82" s="506"/>
      <c r="AX82" s="507"/>
      <c r="AY82" s="484">
        <f>IF(Ergebniseingabe!AZ81="","",Ergebniseingabe!AZ81)</f>
      </c>
      <c r="AZ82" s="484"/>
      <c r="BA82" s="485"/>
      <c r="BB82" s="496">
        <f>IF(Ergebniseingabe!BC81="","",Ergebniseingabe!BC81)</f>
      </c>
      <c r="BC82" s="496"/>
      <c r="BD82" s="415">
        <f>IF(Ergebniseingabe!BE81="","",Ergebniseingabe!BE81)</f>
      </c>
      <c r="BE82" s="416"/>
      <c r="BF82" s="416"/>
      <c r="BG82" s="41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99"/>
      <c r="C83" s="500"/>
      <c r="D83" s="502"/>
      <c r="E83" s="502"/>
      <c r="F83" s="502"/>
      <c r="G83" s="502"/>
      <c r="H83" s="512" t="s">
        <v>36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37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486"/>
      <c r="AZ83" s="486"/>
      <c r="BA83" s="486"/>
      <c r="BB83" s="486"/>
      <c r="BC83" s="487"/>
      <c r="BD83" s="433"/>
      <c r="BE83" s="434"/>
      <c r="BF83" s="434"/>
      <c r="BG83" s="43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493" t="s">
        <v>11</v>
      </c>
      <c r="C85" s="494"/>
      <c r="D85" s="494" t="s">
        <v>65</v>
      </c>
      <c r="E85" s="494"/>
      <c r="F85" s="494"/>
      <c r="G85" s="494"/>
      <c r="H85" s="495" t="s">
        <v>38</v>
      </c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503"/>
      <c r="AY85" s="494" t="s">
        <v>14</v>
      </c>
      <c r="AZ85" s="494"/>
      <c r="BA85" s="494"/>
      <c r="BB85" s="494"/>
      <c r="BC85" s="495"/>
      <c r="BD85" s="439"/>
      <c r="BE85" s="440"/>
      <c r="BF85" s="440"/>
      <c r="BG85" s="44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97">
        <v>16</v>
      </c>
      <c r="C86" s="498"/>
      <c r="D86" s="501">
        <f>Ergebniseingabe!E85</f>
        <v>0</v>
      </c>
      <c r="E86" s="501"/>
      <c r="F86" s="501"/>
      <c r="G86" s="501"/>
      <c r="H86" s="508">
        <f>Ergebniseingabe!I85</f>
        <v>0</v>
      </c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110" t="s">
        <v>16</v>
      </c>
      <c r="AD86" s="506">
        <f>Ergebniseingabe!AE85</f>
        <v>0</v>
      </c>
      <c r="AE86" s="506"/>
      <c r="AF86" s="506"/>
      <c r="AG86" s="506"/>
      <c r="AH86" s="506"/>
      <c r="AI86" s="506"/>
      <c r="AJ86" s="506"/>
      <c r="AK86" s="506"/>
      <c r="AL86" s="506"/>
      <c r="AM86" s="506"/>
      <c r="AN86" s="506"/>
      <c r="AO86" s="506"/>
      <c r="AP86" s="506"/>
      <c r="AQ86" s="506"/>
      <c r="AR86" s="506"/>
      <c r="AS86" s="506"/>
      <c r="AT86" s="506"/>
      <c r="AU86" s="506"/>
      <c r="AV86" s="506"/>
      <c r="AW86" s="506"/>
      <c r="AX86" s="507"/>
      <c r="AY86" s="484">
        <f>IF(Ergebniseingabe!AZ85="","",Ergebniseingabe!AZ85)</f>
      </c>
      <c r="AZ86" s="484"/>
      <c r="BA86" s="485"/>
      <c r="BB86" s="496">
        <f>IF(Ergebniseingabe!BC85="","",Ergebniseingabe!BC85)</f>
      </c>
      <c r="BC86" s="496"/>
      <c r="BD86" s="415">
        <f>IF(Ergebniseingabe!BE85="","",Ergebniseingabe!BE85)</f>
      </c>
      <c r="BE86" s="416"/>
      <c r="BF86" s="416"/>
      <c r="BG86" s="41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99"/>
      <c r="C87" s="500"/>
      <c r="D87" s="502"/>
      <c r="E87" s="502"/>
      <c r="F87" s="502"/>
      <c r="G87" s="502"/>
      <c r="H87" s="512" t="s">
        <v>39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40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486"/>
      <c r="AZ87" s="486"/>
      <c r="BA87" s="486"/>
      <c r="BB87" s="486"/>
      <c r="BC87" s="487"/>
      <c r="BD87" s="433"/>
      <c r="BE87" s="434"/>
      <c r="BF87" s="434"/>
      <c r="BG87" s="43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0" t="s">
        <v>11</v>
      </c>
      <c r="C89" s="504"/>
      <c r="D89" s="504" t="s">
        <v>65</v>
      </c>
      <c r="E89" s="504"/>
      <c r="F89" s="504"/>
      <c r="G89" s="504"/>
      <c r="H89" s="505" t="s">
        <v>41</v>
      </c>
      <c r="I89" s="437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/>
      <c r="AP89" s="437"/>
      <c r="AQ89" s="437"/>
      <c r="AR89" s="437"/>
      <c r="AS89" s="437"/>
      <c r="AT89" s="437"/>
      <c r="AU89" s="437"/>
      <c r="AV89" s="437"/>
      <c r="AW89" s="437"/>
      <c r="AX89" s="509"/>
      <c r="AY89" s="504" t="s">
        <v>14</v>
      </c>
      <c r="AZ89" s="504"/>
      <c r="BA89" s="504"/>
      <c r="BB89" s="504"/>
      <c r="BC89" s="505"/>
      <c r="BD89" s="436"/>
      <c r="BE89" s="437"/>
      <c r="BF89" s="437"/>
      <c r="BG89" s="43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97">
        <v>17</v>
      </c>
      <c r="C90" s="498"/>
      <c r="D90" s="501">
        <f>Ergebniseingabe!E89</f>
        <v>0.5208333333333334</v>
      </c>
      <c r="E90" s="501"/>
      <c r="F90" s="501"/>
      <c r="G90" s="501"/>
      <c r="H90" s="508" t="str">
        <f>Ergebniseingabe!I89</f>
        <v>FC Gütersloh</v>
      </c>
      <c r="I90" s="506"/>
      <c r="J90" s="506"/>
      <c r="K90" s="506"/>
      <c r="L90" s="506"/>
      <c r="M90" s="506"/>
      <c r="N90" s="506"/>
      <c r="O90" s="506"/>
      <c r="P90" s="506"/>
      <c r="Q90" s="506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110" t="s">
        <v>16</v>
      </c>
      <c r="AD90" s="506" t="str">
        <f>Ergebniseingabe!AE89</f>
        <v>TuS Eintracht Bielefeld</v>
      </c>
      <c r="AE90" s="506"/>
      <c r="AF90" s="506"/>
      <c r="AG90" s="506"/>
      <c r="AH90" s="506"/>
      <c r="AI90" s="506"/>
      <c r="AJ90" s="506"/>
      <c r="AK90" s="506"/>
      <c r="AL90" s="506"/>
      <c r="AM90" s="506"/>
      <c r="AN90" s="506"/>
      <c r="AO90" s="506"/>
      <c r="AP90" s="506"/>
      <c r="AQ90" s="506"/>
      <c r="AR90" s="506"/>
      <c r="AS90" s="506"/>
      <c r="AT90" s="506"/>
      <c r="AU90" s="506"/>
      <c r="AV90" s="506"/>
      <c r="AW90" s="506"/>
      <c r="AX90" s="507"/>
      <c r="AY90" s="484">
        <f>IF(Ergebniseingabe!AZ89="","",Ergebniseingabe!AZ89)</f>
        <v>0</v>
      </c>
      <c r="AZ90" s="484"/>
      <c r="BA90" s="485"/>
      <c r="BB90" s="496">
        <f>IF(Ergebniseingabe!BC89="","",Ergebniseingabe!BC89)</f>
        <v>1</v>
      </c>
      <c r="BC90" s="496"/>
      <c r="BD90" s="415">
        <f>IF(Ergebniseingabe!BE89="","",Ergebniseingabe!BE89)</f>
      </c>
      <c r="BE90" s="416"/>
      <c r="BF90" s="416"/>
      <c r="BG90" s="41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99"/>
      <c r="C91" s="500"/>
      <c r="D91" s="502"/>
      <c r="E91" s="502"/>
      <c r="F91" s="502"/>
      <c r="G91" s="502"/>
      <c r="H91" s="512" t="s">
        <v>42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43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486"/>
      <c r="AZ91" s="486"/>
      <c r="BA91" s="486"/>
      <c r="BB91" s="486"/>
      <c r="BC91" s="487"/>
      <c r="BD91" s="433"/>
      <c r="BE91" s="434"/>
      <c r="BF91" s="434"/>
      <c r="BG91" s="43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0" t="s">
        <v>11</v>
      </c>
      <c r="C93" s="504"/>
      <c r="D93" s="504" t="s">
        <v>65</v>
      </c>
      <c r="E93" s="504"/>
      <c r="F93" s="504"/>
      <c r="G93" s="504"/>
      <c r="H93" s="505" t="s">
        <v>44</v>
      </c>
      <c r="I93" s="437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7"/>
      <c r="AM93" s="437"/>
      <c r="AN93" s="437"/>
      <c r="AO93" s="437"/>
      <c r="AP93" s="437"/>
      <c r="AQ93" s="437"/>
      <c r="AR93" s="437"/>
      <c r="AS93" s="437"/>
      <c r="AT93" s="437"/>
      <c r="AU93" s="437"/>
      <c r="AV93" s="437"/>
      <c r="AW93" s="437"/>
      <c r="AX93" s="509"/>
      <c r="AY93" s="504" t="s">
        <v>14</v>
      </c>
      <c r="AZ93" s="504"/>
      <c r="BA93" s="504"/>
      <c r="BB93" s="504"/>
      <c r="BC93" s="505"/>
      <c r="BD93" s="436"/>
      <c r="BE93" s="437"/>
      <c r="BF93" s="437"/>
      <c r="BG93" s="43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97">
        <v>18</v>
      </c>
      <c r="C94" s="498"/>
      <c r="D94" s="501">
        <f>Ergebniseingabe!E93</f>
        <v>0.5291666666666667</v>
      </c>
      <c r="E94" s="501"/>
      <c r="F94" s="501"/>
      <c r="G94" s="501"/>
      <c r="H94" s="508" t="str">
        <f>Ergebniseingabe!I93</f>
        <v>Spvg Steinhagen</v>
      </c>
      <c r="I94" s="506"/>
      <c r="J94" s="506"/>
      <c r="K94" s="506"/>
      <c r="L94" s="506"/>
      <c r="M94" s="506"/>
      <c r="N94" s="506"/>
      <c r="O94" s="506"/>
      <c r="P94" s="506"/>
      <c r="Q94" s="506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110" t="s">
        <v>16</v>
      </c>
      <c r="AD94" s="506" t="str">
        <f>Ergebniseingabe!AE93</f>
        <v>FA Herringhausen-Eickum</v>
      </c>
      <c r="AE94" s="506"/>
      <c r="AF94" s="506"/>
      <c r="AG94" s="506"/>
      <c r="AH94" s="506"/>
      <c r="AI94" s="506"/>
      <c r="AJ94" s="506"/>
      <c r="AK94" s="506"/>
      <c r="AL94" s="506"/>
      <c r="AM94" s="506"/>
      <c r="AN94" s="506"/>
      <c r="AO94" s="506"/>
      <c r="AP94" s="506"/>
      <c r="AQ94" s="506"/>
      <c r="AR94" s="506"/>
      <c r="AS94" s="506"/>
      <c r="AT94" s="506"/>
      <c r="AU94" s="506"/>
      <c r="AV94" s="506"/>
      <c r="AW94" s="506"/>
      <c r="AX94" s="507"/>
      <c r="AY94" s="484">
        <f>IF(Ergebniseingabe!AZ93="","",Ergebniseingabe!AZ93)</f>
        <v>4</v>
      </c>
      <c r="AZ94" s="484"/>
      <c r="BA94" s="485"/>
      <c r="BB94" s="496">
        <f>IF(Ergebniseingabe!BC93="","",Ergebniseingabe!BC93)</f>
        <v>2</v>
      </c>
      <c r="BC94" s="496"/>
      <c r="BD94" s="415">
        <f>IF(Ergebniseingabe!BE93="","",Ergebniseingabe!BE93)</f>
      </c>
      <c r="BE94" s="416"/>
      <c r="BF94" s="416"/>
      <c r="BG94" s="41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99"/>
      <c r="C95" s="500"/>
      <c r="D95" s="502"/>
      <c r="E95" s="502"/>
      <c r="F95" s="502"/>
      <c r="G95" s="502"/>
      <c r="H95" s="512" t="s">
        <v>45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46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486"/>
      <c r="AZ95" s="486"/>
      <c r="BA95" s="486"/>
      <c r="BB95" s="486"/>
      <c r="BC95" s="487"/>
      <c r="BD95" s="433"/>
      <c r="BE95" s="434"/>
      <c r="BF95" s="434"/>
      <c r="BG95" s="43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47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71" t="s">
        <v>48</v>
      </c>
      <c r="J100" s="472"/>
      <c r="K100" s="481" t="str">
        <f>Ergebniseingabe!L98</f>
        <v>Spvg Steinhagen</v>
      </c>
      <c r="L100" s="482"/>
      <c r="M100" s="482"/>
      <c r="N100" s="482"/>
      <c r="O100" s="482"/>
      <c r="P100" s="482"/>
      <c r="Q100" s="482"/>
      <c r="R100" s="482"/>
      <c r="S100" s="482"/>
      <c r="T100" s="482"/>
      <c r="U100" s="482"/>
      <c r="V100" s="482"/>
      <c r="W100" s="482"/>
      <c r="X100" s="482"/>
      <c r="Y100" s="482"/>
      <c r="Z100" s="482"/>
      <c r="AA100" s="482"/>
      <c r="AB100" s="482"/>
      <c r="AC100" s="482"/>
      <c r="AD100" s="482"/>
      <c r="AE100" s="483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69" t="s">
        <v>49</v>
      </c>
      <c r="J101" s="470"/>
      <c r="K101" s="478" t="str">
        <f>Ergebniseingabe!L99</f>
        <v>FA Herringhausen-Eickum</v>
      </c>
      <c r="L101" s="479"/>
      <c r="M101" s="479"/>
      <c r="N101" s="479"/>
      <c r="O101" s="479"/>
      <c r="P101" s="479"/>
      <c r="Q101" s="479"/>
      <c r="R101" s="479"/>
      <c r="S101" s="479"/>
      <c r="T101" s="479"/>
      <c r="U101" s="479"/>
      <c r="V101" s="479"/>
      <c r="W101" s="479"/>
      <c r="X101" s="479"/>
      <c r="Y101" s="479"/>
      <c r="Z101" s="479"/>
      <c r="AA101" s="479"/>
      <c r="AB101" s="479"/>
      <c r="AC101" s="479"/>
      <c r="AD101" s="479"/>
      <c r="AE101" s="480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69" t="s">
        <v>50</v>
      </c>
      <c r="J102" s="470"/>
      <c r="K102" s="478" t="str">
        <f>Ergebniseingabe!L100</f>
        <v>TuS Eintracht Bielefeld</v>
      </c>
      <c r="L102" s="479"/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79"/>
      <c r="X102" s="479"/>
      <c r="Y102" s="479"/>
      <c r="Z102" s="479"/>
      <c r="AA102" s="479"/>
      <c r="AB102" s="479"/>
      <c r="AC102" s="479"/>
      <c r="AD102" s="479"/>
      <c r="AE102" s="480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69" t="s">
        <v>51</v>
      </c>
      <c r="J103" s="470"/>
      <c r="K103" s="478" t="str">
        <f>Ergebniseingabe!L101</f>
        <v>FC Gütersloh</v>
      </c>
      <c r="L103" s="479"/>
      <c r="M103" s="479"/>
      <c r="N103" s="479"/>
      <c r="O103" s="479"/>
      <c r="P103" s="479"/>
      <c r="Q103" s="479"/>
      <c r="R103" s="479"/>
      <c r="S103" s="479"/>
      <c r="T103" s="479"/>
      <c r="U103" s="479"/>
      <c r="V103" s="479"/>
      <c r="W103" s="479"/>
      <c r="X103" s="479"/>
      <c r="Y103" s="479"/>
      <c r="Z103" s="479"/>
      <c r="AA103" s="479"/>
      <c r="AB103" s="479"/>
      <c r="AC103" s="479"/>
      <c r="AD103" s="479"/>
      <c r="AE103" s="480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69" t="s">
        <v>52</v>
      </c>
      <c r="J104" s="470"/>
      <c r="K104" s="478">
        <f>Ergebniseingabe!L102</f>
        <v>0</v>
      </c>
      <c r="L104" s="479"/>
      <c r="M104" s="479"/>
      <c r="N104" s="479"/>
      <c r="O104" s="479"/>
      <c r="P104" s="479"/>
      <c r="Q104" s="479"/>
      <c r="R104" s="479"/>
      <c r="S104" s="479"/>
      <c r="T104" s="479"/>
      <c r="U104" s="479"/>
      <c r="V104" s="479"/>
      <c r="W104" s="479"/>
      <c r="X104" s="479"/>
      <c r="Y104" s="479"/>
      <c r="Z104" s="479"/>
      <c r="AA104" s="479"/>
      <c r="AB104" s="479"/>
      <c r="AC104" s="479"/>
      <c r="AD104" s="479"/>
      <c r="AE104" s="480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69" t="s">
        <v>53</v>
      </c>
      <c r="J105" s="470"/>
      <c r="K105" s="478">
        <f>Ergebniseingabe!L103</f>
        <v>0</v>
      </c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  <c r="AE105" s="480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69" t="s">
        <v>54</v>
      </c>
      <c r="J106" s="470"/>
      <c r="K106" s="478">
        <f>Ergebniseingabe!L104</f>
        <v>0</v>
      </c>
      <c r="L106" s="479"/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79"/>
      <c r="X106" s="479"/>
      <c r="Y106" s="479"/>
      <c r="Z106" s="479"/>
      <c r="AA106" s="479"/>
      <c r="AB106" s="479"/>
      <c r="AC106" s="479"/>
      <c r="AD106" s="479"/>
      <c r="AE106" s="480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73" t="s">
        <v>55</v>
      </c>
      <c r="J107" s="474"/>
      <c r="K107" s="475">
        <f>Ergebniseingabe!L105</f>
        <v>0</v>
      </c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6"/>
      <c r="AC107" s="476"/>
      <c r="AD107" s="476"/>
      <c r="AE107" s="477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68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69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70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71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72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73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74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75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76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AD94:AX94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D32:F32"/>
    <mergeCell ref="B43:H43"/>
    <mergeCell ref="B32:C32"/>
    <mergeCell ref="AB14:AV14"/>
    <mergeCell ref="C14:W14"/>
    <mergeCell ref="K22:BA22"/>
    <mergeCell ref="B90:C91"/>
    <mergeCell ref="B89:C89"/>
    <mergeCell ref="B26:C26"/>
    <mergeCell ref="B27:C27"/>
    <mergeCell ref="B29:C29"/>
    <mergeCell ref="G23:J23"/>
    <mergeCell ref="G27:J27"/>
    <mergeCell ref="G25:J25"/>
    <mergeCell ref="G24:J24"/>
    <mergeCell ref="AG24:BA24"/>
    <mergeCell ref="AG23:BA23"/>
    <mergeCell ref="AG25:BA25"/>
    <mergeCell ref="K25:AE25"/>
    <mergeCell ref="J48:K48"/>
    <mergeCell ref="G32:J32"/>
    <mergeCell ref="H79:AB79"/>
    <mergeCell ref="H75:AB75"/>
    <mergeCell ref="AB71:AG71"/>
    <mergeCell ref="D73:G73"/>
    <mergeCell ref="J61:K61"/>
    <mergeCell ref="J60:K60"/>
    <mergeCell ref="AG33:BA33"/>
    <mergeCell ref="AH71:AL71"/>
    <mergeCell ref="F60:H60"/>
    <mergeCell ref="F61:H61"/>
    <mergeCell ref="A71:F71"/>
    <mergeCell ref="G71:J71"/>
    <mergeCell ref="K33:AE33"/>
    <mergeCell ref="G33:J33"/>
    <mergeCell ref="T71:U71"/>
    <mergeCell ref="W71:AA71"/>
    <mergeCell ref="B34:C34"/>
    <mergeCell ref="B33:C33"/>
    <mergeCell ref="D31:F31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G29:J29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AV47:AX47"/>
    <mergeCell ref="BB48:BD48"/>
    <mergeCell ref="BH48:BI48"/>
    <mergeCell ref="BB45:BD45"/>
    <mergeCell ref="BE48:BF48"/>
    <mergeCell ref="BH47:BI47"/>
    <mergeCell ref="BH46:BI46"/>
    <mergeCell ref="BB46:BD46"/>
    <mergeCell ref="AP50:AR57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BH60:BI60"/>
    <mergeCell ref="BE60:BF60"/>
    <mergeCell ref="AG50:AI57"/>
    <mergeCell ref="BB78:BC78"/>
    <mergeCell ref="AY77:BC77"/>
    <mergeCell ref="AY78:BA78"/>
    <mergeCell ref="AY73:BC73"/>
    <mergeCell ref="AY75:BC75"/>
    <mergeCell ref="AY74:BA74"/>
    <mergeCell ref="BB74:BC74"/>
    <mergeCell ref="AM50:AO57"/>
    <mergeCell ref="AJ50:AL57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AS60:AU60"/>
    <mergeCell ref="AP61:AR61"/>
    <mergeCell ref="AP60:AR60"/>
    <mergeCell ref="AJ61:AL61"/>
    <mergeCell ref="AJ60:AL60"/>
    <mergeCell ref="AM61:AO61"/>
    <mergeCell ref="AM60:AO60"/>
    <mergeCell ref="J45:K45"/>
    <mergeCell ref="G31:J31"/>
    <mergeCell ref="J59:K59"/>
    <mergeCell ref="J47:K47"/>
    <mergeCell ref="J46:K46"/>
    <mergeCell ref="J57:AF57"/>
    <mergeCell ref="L46:AF46"/>
    <mergeCell ref="L59:AF59"/>
    <mergeCell ref="L48:AF48"/>
    <mergeCell ref="L47:AF47"/>
    <mergeCell ref="D86:G87"/>
    <mergeCell ref="F45:H45"/>
    <mergeCell ref="D30:F30"/>
    <mergeCell ref="D33:F33"/>
    <mergeCell ref="F44:H44"/>
    <mergeCell ref="B44:E44"/>
    <mergeCell ref="B30:C30"/>
    <mergeCell ref="D34:F34"/>
    <mergeCell ref="B46:E46"/>
    <mergeCell ref="G34:J34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H86:AB86"/>
    <mergeCell ref="H82:AB82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AY83:BC83"/>
    <mergeCell ref="B82:C83"/>
    <mergeCell ref="D82:G83"/>
    <mergeCell ref="H85:AX85"/>
    <mergeCell ref="BD82:BG82"/>
    <mergeCell ref="BD81:BG81"/>
    <mergeCell ref="G22:J22"/>
    <mergeCell ref="AY79:BC79"/>
    <mergeCell ref="B65:AT65"/>
    <mergeCell ref="B45:E45"/>
    <mergeCell ref="B61:E61"/>
    <mergeCell ref="B60:E60"/>
    <mergeCell ref="B59:E59"/>
    <mergeCell ref="B58:E5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G46:AI46"/>
    <mergeCell ref="AJ48:AL48"/>
    <mergeCell ref="AP46:AR46"/>
    <mergeCell ref="AM48:AO48"/>
    <mergeCell ref="AM47:AO47"/>
    <mergeCell ref="AM46:AO46"/>
    <mergeCell ref="AP48:AR48"/>
    <mergeCell ref="AP47:AR47"/>
    <mergeCell ref="AM59:AO59"/>
    <mergeCell ref="AM58:AO58"/>
    <mergeCell ref="AG61:AI61"/>
    <mergeCell ref="AG60:AI60"/>
    <mergeCell ref="AG59:AI59"/>
    <mergeCell ref="AG58:AI58"/>
    <mergeCell ref="AJ58:AL58"/>
    <mergeCell ref="J58:K58"/>
    <mergeCell ref="AP45:AR45"/>
    <mergeCell ref="AM45:AO45"/>
    <mergeCell ref="AJ45:AL45"/>
    <mergeCell ref="AG45:AI45"/>
    <mergeCell ref="AJ47:AL47"/>
    <mergeCell ref="AJ46:AL46"/>
    <mergeCell ref="AG48:AI48"/>
    <mergeCell ref="L58:AF58"/>
    <mergeCell ref="AG47:AI4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78">
      <c r="B4" s="43"/>
      <c r="C4" s="151"/>
      <c r="D4" s="151"/>
      <c r="E4" s="151"/>
      <c r="F4" s="151"/>
      <c r="G4" s="43" t="s">
        <v>56</v>
      </c>
      <c r="H4" s="43" t="s">
        <v>16</v>
      </c>
      <c r="I4" s="151" t="s">
        <v>57</v>
      </c>
      <c r="J4" s="151" t="s">
        <v>58</v>
      </c>
      <c r="K4" s="43"/>
      <c r="L4" s="151" t="s">
        <v>59</v>
      </c>
      <c r="M4" s="43" t="s">
        <v>77</v>
      </c>
      <c r="N4" s="153" t="s">
        <v>23</v>
      </c>
      <c r="O4" s="43" t="s">
        <v>24</v>
      </c>
      <c r="Q4" s="162" t="s">
        <v>25</v>
      </c>
      <c r="R4" s="163" t="str">
        <f>Q5</f>
        <v>FC Gütersloh</v>
      </c>
      <c r="S4" s="163" t="str">
        <f>Q6</f>
        <v>Spvg Steinhagen</v>
      </c>
      <c r="T4" s="163" t="str">
        <f>Q7</f>
        <v>SV Spexard</v>
      </c>
      <c r="U4" s="163" t="str">
        <f>Q8</f>
        <v>SCE Gütersloh</v>
      </c>
      <c r="V4" s="164"/>
      <c r="W4" s="162" t="s">
        <v>57</v>
      </c>
      <c r="X4" s="163" t="str">
        <f>W5</f>
        <v>FC Gütersloh</v>
      </c>
      <c r="Y4" s="163" t="str">
        <f>W6</f>
        <v>Spvg Steinhagen</v>
      </c>
      <c r="Z4" s="163" t="str">
        <f>W7</f>
        <v>SV Spexard</v>
      </c>
      <c r="AA4" s="163" t="str">
        <f>W8</f>
        <v>SCE Gütersloh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2</v>
      </c>
      <c r="D5" s="151">
        <f>E5+ROW()/1000</f>
        <v>2.005</v>
      </c>
      <c r="E5" s="151">
        <f>RANK(K5,$K$5:$K$8)</f>
        <v>2</v>
      </c>
      <c r="F5" s="43" t="str">
        <f>VLOOKUP(B5,Ergebniseingabe!$C$19:$X$22,2,0)</f>
        <v>FC Gütersloh</v>
      </c>
      <c r="G5" s="39">
        <f>SUMPRODUCT((F5=Ergebniseingabe!$L$27:$AF$38)*(Ergebniseingabe!$BC$27:$BC$38))+SUMPRODUCT((F5=Ergebniseingabe!$AH$27:$BB$38)*(Ergebniseingabe!$BF$27:$BF$38))</f>
        <v>3</v>
      </c>
      <c r="H5" s="39">
        <f>SUMPRODUCT((F5=Ergebniseingabe!$L$27:$AF$38)*(Ergebniseingabe!$BF$27:$BF$38))+SUMPRODUCT((F5=Ergebniseingabe!$AH$27:$BB$38)*(Ergebniseingabe!$BC$27:$BC$38))</f>
        <v>2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5</v>
      </c>
      <c r="J5" s="40">
        <f>G5-H5</f>
        <v>1</v>
      </c>
      <c r="K5" s="190">
        <f>AC5+AI5+AO5</f>
        <v>501003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1</v>
      </c>
      <c r="N5" s="39">
        <f>SUMPRODUCT((Ergebniseingabe!$L$27:$BB$38=F5)*(Ergebniseingabe!$BC$27:$BC$38=Ergebniseingabe!$BF$27:$BF$38)*(Ergebniseingabe!$BC$27:$BC$38&lt;&gt;"")*(Ergebniseingabe!$BF$27:$BF$38&lt;&gt;""))</f>
        <v>2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FC Gütersloh</v>
      </c>
      <c r="R5" s="173"/>
      <c r="S5" s="174">
        <f>IF(AND(Q5&amp;$S$4=VLOOKUP(Q5&amp;$S$4,$D$23:$I$46,1,0),VLOOKUP(Q5&amp;$S$4,$D$23:$I$46,6,0)&lt;&gt;""),VLOOKUP(Q5&amp;$S$4,$D$23:$I$46,6,0),)</f>
        <v>1</v>
      </c>
      <c r="T5" s="174">
        <f>IF(AND(Q5&amp;$T$4=VLOOKUP(Q5&amp;$T$4,$D$23:$I$46,1,0),VLOOKUP(Q5&amp;$T$4,$D$23:$I$46,6,0)&lt;&gt;""),VLOOKUP(Q5&amp;$T$4,$D$23:$I$46,6,0),)</f>
        <v>1</v>
      </c>
      <c r="U5" s="174">
        <f>IF(AND(Q5&amp;$U$4=VLOOKUP(Q5&amp;$U$4,$D$23:$I$46,1,0),VLOOKUP(Q5&amp;$U$4,$D$23:$I$46,6,0)&lt;&gt;""),VLOOKUP(Q5&amp;$U$4,$D$23:$I$46,6,0),)</f>
        <v>1</v>
      </c>
      <c r="V5" s="164"/>
      <c r="W5" s="172" t="str">
        <f>Q5</f>
        <v>FC Gütersloh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3</v>
      </c>
      <c r="AA5" s="174">
        <f>IF(AND(ISNUMBER(U5),ISNUMBER(R8)),IF(U5&gt;R8,3,IF(U5=R8,1,0)),0)</f>
        <v>1</v>
      </c>
      <c r="AB5" s="164"/>
      <c r="AC5" s="175">
        <f>I5*100000+J5*1000+G5</f>
        <v>501003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1</v>
      </c>
      <c r="AM5" s="168">
        <f>J5-INDEX(R5:U5,1,AK4)-INDEX(R5:R8,AK4,1)-ABS(AS5)-ABS(AX5)</f>
        <v>0</v>
      </c>
      <c r="AN5" s="168">
        <f>G5-INDEX(R5:U5,1,$AK$4)-AT5-AY5</f>
        <v>1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1</v>
      </c>
      <c r="AS5" s="168">
        <f>IF(ISNA($AQ$4),0,(INDEX(R5:U5,1,AQ4)-INDEX(R5:R8,AQ4,1)))</f>
        <v>0</v>
      </c>
      <c r="AT5" s="168">
        <f>IF(ISNA($AQ$4),0,INDEX(R5:U5,1,$AQ$4))</f>
        <v>1</v>
      </c>
      <c r="AU5" s="166"/>
      <c r="AV5" s="180"/>
      <c r="AW5" s="168">
        <f>IF(ISNA($AV$4),0,INDEX(X5:AA5,1,$AV$4))</f>
        <v>3</v>
      </c>
      <c r="AX5" s="168">
        <f>IF(ISNA($AV$4),0,(INDEX(R5:U5,1,AV4)-INDEX(R5:R8,AV4,1)))</f>
        <v>1</v>
      </c>
      <c r="AY5" s="168">
        <f>IF(ISNA($AV$4),0,INDEX(R5:U5,1,$AV$4))</f>
        <v>1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1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Spvg Steinhagen</v>
      </c>
      <c r="G6" s="39">
        <f>SUMPRODUCT((F6=Ergebniseingabe!$L$27:$AF$38)*(Ergebniseingabe!$BC$27:$BC$38))+SUMPRODUCT((F6=Ergebniseingabe!$AH$27:$BB$38)*(Ergebniseingabe!$BF$27:$BF$38))</f>
        <v>7</v>
      </c>
      <c r="H6" s="39">
        <f>SUMPRODUCT((F6=Ergebniseingabe!$L$27:$AF$38)*(Ergebniseingabe!$BF$27:$BF$38))+SUMPRODUCT((F6=Ergebniseingabe!$AH$27:$BB$38)*(Ergebniseingabe!$BC$27:$BC$38))</f>
        <v>2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7</v>
      </c>
      <c r="J6" s="40">
        <f>G6-H6</f>
        <v>5</v>
      </c>
      <c r="K6" s="190">
        <f>AC6+AI6+AO6</f>
        <v>705007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2</v>
      </c>
      <c r="N6" s="39">
        <f>SUMPRODUCT((Ergebniseingabe!$L$27:$BB$38=F6)*(Ergebniseingabe!$BC$27:$BC$38=Ergebniseingabe!$BF$27:$BF$38)*(Ergebniseingabe!$BC$27:$BC$38&lt;&gt;"")*(Ergebniseingabe!$BF$27:$BF$38&lt;&gt;""))</f>
        <v>1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Spvg Steinhagen</v>
      </c>
      <c r="R6" s="174">
        <f>IF(AND(Q6&amp;$R$4=VLOOKUP(Q6&amp;$R$4,$D$23:$I$46,1,0),VLOOKUP(Q6&amp;$R$4,$D$23:$I$46,6,0)&lt;&gt;""),VLOOKUP(Q6&amp;$R$4,$D$23:$I$46,6,0),)</f>
        <v>1</v>
      </c>
      <c r="S6" s="173"/>
      <c r="T6" s="174">
        <f>IF(AND(Q6&amp;$T$4=VLOOKUP(Q6&amp;$T$4,$D$23:$I$46,1,0),VLOOKUP(Q6&amp;$T$4,$D$23:$I$46,6,0)&lt;&gt;""),VLOOKUP(Q6&amp;$T$4,$D$23:$I$46,6,0),)</f>
        <v>2</v>
      </c>
      <c r="U6" s="174">
        <f>IF(AND(Q6&amp;$U$4=VLOOKUP(Q6&amp;$U$4,$D$23:$I$46,1,0),VLOOKUP(Q6&amp;$U$4,$D$23:$I$46,6,0)&lt;&gt;""),VLOOKUP(Q6&amp;$U$4,$D$23:$I$46,6,0),)</f>
        <v>4</v>
      </c>
      <c r="V6" s="164"/>
      <c r="W6" s="181" t="str">
        <f>Q6</f>
        <v>Spvg Steinhagen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3</v>
      </c>
      <c r="AA6" s="174">
        <f>IF(AND(ISNUMBER(U6),ISNUMBER(S8)),IF(U6&gt;S8,3,IF(U6=S8,1,0)),0)</f>
        <v>3</v>
      </c>
      <c r="AB6" s="164"/>
      <c r="AC6" s="175">
        <f>I6*100000+J6*1000+G6</f>
        <v>705007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3</v>
      </c>
      <c r="AM6" s="168">
        <f>J6-INDEX(R6:U6,1,AK4)-INDEX(S5:S8,AK4,1)-ABS(AS6)-ABS(AX6)</f>
        <v>1</v>
      </c>
      <c r="AN6" s="168">
        <f>G6-INDEX(R6:U6,1,$AK$4)-AT6-AY6</f>
        <v>4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3</v>
      </c>
      <c r="AX6" s="168">
        <f>IF(ISNA($AV$4),0,(INDEX(R6:U6,1,AV4)-INDEX(S5:S8,AV4,1)))</f>
        <v>2</v>
      </c>
      <c r="AY6" s="168">
        <f>IF(ISNA($AV$4),0,INDEX(R6:U6,1,$AV$4))</f>
        <v>2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3.007</v>
      </c>
      <c r="E7" s="151">
        <f>RANK(K7,$K$5:$K$8)</f>
        <v>3</v>
      </c>
      <c r="F7" s="43" t="str">
        <f>VLOOKUP(B7,Ergebniseingabe!$C$19:$X$22,2,0)</f>
        <v>SV Spexard</v>
      </c>
      <c r="G7" s="39">
        <f>SUMPRODUCT((F7=Ergebniseingabe!$L$27:$AF$38)*(Ergebniseingabe!$BC$27:$BC$38))+SUMPRODUCT((F7=Ergebniseingabe!$AH$27:$BB$38)*(Ergebniseingabe!$BF$27:$BF$38))</f>
        <v>2</v>
      </c>
      <c r="H7" s="39">
        <f>SUMPRODUCT((F7=Ergebniseingabe!$L$27:$AF$38)*(Ergebniseingabe!$BF$27:$BF$38))+SUMPRODUCT((F7=Ergebniseingabe!$AH$27:$BB$38)*(Ergebniseingabe!$BC$27:$BC$38))</f>
        <v>3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3</v>
      </c>
      <c r="J7" s="40">
        <f>G7-H7</f>
        <v>-1</v>
      </c>
      <c r="K7" s="190">
        <f>AC7+AI7+AO7</f>
        <v>299002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1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2</v>
      </c>
      <c r="Q7" s="172" t="str">
        <f>$F$7</f>
        <v>SV Spexard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2</v>
      </c>
      <c r="V7" s="164"/>
      <c r="W7" s="181" t="str">
        <f>Q7</f>
        <v>SV Spexard</v>
      </c>
      <c r="X7" s="174">
        <f>IF(AND(ISNUMBER(R7),ISNUMBER(T5)),IF(R7&gt;T5,3,IF(R7=T5,1,0)),0)</f>
        <v>0</v>
      </c>
      <c r="Y7" s="174">
        <f>IF(AND(ISNUMBER(S7),ISNUMBER(T6)),IF(S7&gt;T6,3,IF(S7=T6,1,0)),0)</f>
        <v>0</v>
      </c>
      <c r="Z7" s="173"/>
      <c r="AA7" s="174">
        <f>IF(AND(ISNUMBER(U7),ISNUMBER(T8)),IF(U7&gt;T8,3,IF(U7=T8,1,0)),0)</f>
        <v>3</v>
      </c>
      <c r="AB7" s="164"/>
      <c r="AC7" s="175">
        <f>I7*100000+J7*1000+G7</f>
        <v>299002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3</v>
      </c>
      <c r="AM7" s="168">
        <f>J7-INDEX(R7:U7,1,AK4)-INDEX(T5:T8,AK4,1)-ABS(AS7)-ABS(AX7)</f>
        <v>-4</v>
      </c>
      <c r="AN7" s="168">
        <f>G7-INDEX(R7:U7,1,$AK$4)-AT7-AY7</f>
        <v>2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-2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4.008</v>
      </c>
      <c r="E8" s="151">
        <f>RANK(K8,$K$5:$K$8)</f>
        <v>4</v>
      </c>
      <c r="F8" s="43" t="str">
        <f>VLOOKUP(B8,Ergebniseingabe!$C$19:$X$22,2,0)</f>
        <v>SCE Gütersloh</v>
      </c>
      <c r="G8" s="39">
        <f>SUMPRODUCT((F8=Ergebniseingabe!$L$27:$AF$38)*(Ergebniseingabe!$BC$27:$BC$38))+SUMPRODUCT((F8=Ergebniseingabe!$AH$27:$BB$38)*(Ergebniseingabe!$BF$27:$BF$38))</f>
        <v>2</v>
      </c>
      <c r="H8" s="39">
        <f>SUMPRODUCT((F8=Ergebniseingabe!$L$27:$AF$38)*(Ergebniseingabe!$BF$27:$BF$38))+SUMPRODUCT((F8=Ergebniseingabe!$AH$27:$BB$38)*(Ergebniseingabe!$BC$27:$BC$38))</f>
        <v>7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1</v>
      </c>
      <c r="J8" s="40">
        <f>G8-H8</f>
        <v>-5</v>
      </c>
      <c r="K8" s="190">
        <f>AC8+AI8+AO8</f>
        <v>95002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1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2</v>
      </c>
      <c r="Q8" s="184" t="str">
        <f>$F$8</f>
        <v>SCE Gütersloh</v>
      </c>
      <c r="R8" s="174">
        <f>IF(AND(Q8&amp;$R$4=VLOOKUP(Q8&amp;$R$4,$D$23:$I$46,1,0),VLOOKUP(Q8&amp;$R$4,$D$23:$I$46,6,0)&lt;&gt;""),VLOOKUP(Q8&amp;$R$4,$D$23:$I$46,6,0),)</f>
        <v>1</v>
      </c>
      <c r="S8" s="174">
        <f>IF(AND(Q8&amp;$S$4=VLOOKUP(Q8&amp;$S$4,$D$23:$I$46,1,0),VLOOKUP(Q8&amp;$S$4,$D$23:$I$46,6,0)&lt;&gt;""),VLOOKUP(Q8&amp;$S$4,$D$23:$I$46,6,0),)</f>
        <v>1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SCE Gütersloh</v>
      </c>
      <c r="X8" s="174">
        <f>IF(AND(ISNUMBER(R8),ISNUMBER(U5)),IF(R8&gt;U5,3,IF(R8=U5,1,0)),0)</f>
        <v>1</v>
      </c>
      <c r="Y8" s="174">
        <f>IF(AND(ISNUMBER(S8),ISNUMBER(U6)),IF(S8&gt;U6,3,IF(S8=U6,1,0)),0)</f>
        <v>0</v>
      </c>
      <c r="Z8" s="174">
        <f>IF(AND(ISNUMBER(T8),ISNUMBER(U7)),IF(T8&gt;U7,3,IF(T8=U7,1,0)),0)</f>
        <v>0</v>
      </c>
      <c r="AA8" s="173"/>
      <c r="AB8" s="164"/>
      <c r="AC8" s="175">
        <f>I8*100000+J8*1000+G8</f>
        <v>95002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-12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-3</v>
      </c>
      <c r="AT8" s="168">
        <f>IF(ISNA($AQ$4),0,INDEX(R8:U8,1,$AQ$4))</f>
        <v>1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-2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78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57</v>
      </c>
      <c r="AM9" s="189" t="s">
        <v>58</v>
      </c>
      <c r="AN9" s="189" t="s">
        <v>79</v>
      </c>
      <c r="AO9" s="170"/>
      <c r="AP9" s="167"/>
      <c r="AQ9" s="170"/>
      <c r="AR9" s="189" t="s">
        <v>57</v>
      </c>
      <c r="AS9" s="189" t="s">
        <v>58</v>
      </c>
      <c r="AT9" s="189" t="s">
        <v>79</v>
      </c>
      <c r="AU9" s="170"/>
      <c r="AV9" s="170"/>
      <c r="AW9" s="189" t="s">
        <v>57</v>
      </c>
      <c r="AX9" s="189" t="s">
        <v>58</v>
      </c>
      <c r="AY9" s="189" t="s">
        <v>79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25</v>
      </c>
      <c r="R13" s="163" t="str">
        <f>Q14</f>
        <v>TuS Eintracht Bielefeld</v>
      </c>
      <c r="S13" s="163" t="str">
        <f>Q15</f>
        <v>Herzebrocker SV</v>
      </c>
      <c r="T13" s="163" t="str">
        <f>Q16</f>
        <v>FC Sürenheide</v>
      </c>
      <c r="U13" s="163" t="str">
        <f>Q17</f>
        <v>FA Herringhausen-Eickum</v>
      </c>
      <c r="V13" s="164"/>
      <c r="W13" s="162" t="s">
        <v>57</v>
      </c>
      <c r="X13" s="163" t="str">
        <f>W14</f>
        <v>TuS Eintracht Bielefeld</v>
      </c>
      <c r="Y13" s="163" t="str">
        <f>W15</f>
        <v>Herzebrocker SV</v>
      </c>
      <c r="Z13" s="163" t="str">
        <f>W16</f>
        <v>FC Sürenheide</v>
      </c>
      <c r="AA13" s="163" t="str">
        <f>W17</f>
        <v>FA Herringhausen-Eickum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2</v>
      </c>
      <c r="D14" s="151">
        <f>E14+ROW()/1000</f>
        <v>2.014</v>
      </c>
      <c r="E14" s="151">
        <f>RANK(K14,$K$14:$K$17)</f>
        <v>2</v>
      </c>
      <c r="F14" s="43" t="str">
        <f>VLOOKUP(B14,Ergebniseingabe!$AB$19:$AW$22,2,0)</f>
        <v>TuS Eintracht Bielefeld</v>
      </c>
      <c r="G14" s="39">
        <f>SUMPRODUCT((F14=Ergebniseingabe!$L$27:$AF$38)*(Ergebniseingabe!$BC$27:$BC$38))+SUMPRODUCT((F14=Ergebniseingabe!$AH$27:$BB$38)*(Ergebniseingabe!$BF$27:$BF$38))</f>
        <v>8</v>
      </c>
      <c r="H14" s="39">
        <f>SUMPRODUCT((F14=Ergebniseingabe!$L$27:$AF$38)*(Ergebniseingabe!$BF$27:$BF$38))+SUMPRODUCT((F14=Ergebniseingabe!$AH$27:$BB$38)*(Ergebniseingabe!$BC$27:$BC$38))</f>
        <v>2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7</v>
      </c>
      <c r="J14" s="40">
        <f>G14-H14</f>
        <v>6</v>
      </c>
      <c r="K14" s="190">
        <f>AC14+AI14+AO14</f>
        <v>706008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2</v>
      </c>
      <c r="N14" s="39">
        <f>SUMPRODUCT((Ergebniseingabe!$L$27:$BB$38=F14)*(Ergebniseingabe!$BC$27:$BC$38=Ergebniseingabe!$BF$27:$BF$38)*(Ergebniseingabe!$BC$27:$BC$38&lt;&gt;"")*(Ergebniseingabe!$BF$27:$BF$38&lt;&gt;""))</f>
        <v>1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TuS Eintracht Bielefeld</v>
      </c>
      <c r="R14" s="173"/>
      <c r="S14" s="174">
        <f>IF(AND(Q14&amp;$S$13=VLOOKUP(Q14&amp;$S$13,$D$23:$I$46,1,0),VLOOKUP(Q14&amp;$S$13,$D$23:$I$46,6,0)&lt;&gt;""),VLOOKUP(Q14&amp;$S$13,$D$23:$I$46,6,0),)</f>
        <v>4</v>
      </c>
      <c r="T14" s="174">
        <f>IF(AND(Q14&amp;$T$13=VLOOKUP(Q14&amp;$T$13,$D$23:$I$46,1,0),VLOOKUP(Q14&amp;$T$13,$D$23:$I$46,6,0)&lt;&gt;""),VLOOKUP(Q14&amp;$T$13,$D$23:$I$46,6,0),)</f>
        <v>4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TuS Eintracht Bielefeld</v>
      </c>
      <c r="X14" s="173"/>
      <c r="Y14" s="174">
        <f>IF(AND(ISNUMBER(S14),ISNUMBER(R15)),IF(S14&gt;R15,3,IF(S14=R15,1,0)),0)</f>
        <v>3</v>
      </c>
      <c r="Z14" s="174">
        <f>IF(AND(ISNUMBER(T14),ISNUMBER(R16)),IF(T14&gt;R16,3,IF(T14=R16,1,0)),0)</f>
        <v>3</v>
      </c>
      <c r="AA14" s="174">
        <f>IF(AND(ISNUMBER(U14),ISNUMBER(R17)),IF(U14&gt;R17,3,IF(U14=R17,1,0)),0)</f>
        <v>1</v>
      </c>
      <c r="AB14" s="164"/>
      <c r="AC14" s="175">
        <f>I14*100000+J14*1000+G14</f>
        <v>706008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1</v>
      </c>
      <c r="AM14" s="168">
        <f>J14-INDEX(R14:U14,1,AK13)-INDEX(R14:R17,AK13,1)-ABS(AS14)-ABS(AX14)</f>
        <v>0</v>
      </c>
      <c r="AN14" s="168">
        <f>G14-INDEX(R14:U14,1,$AK$13)-AT14-AY14</f>
        <v>0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3</v>
      </c>
      <c r="AS14" s="168">
        <f>IF(ISNA($AQ$13),0,(INDEX(R14:U14,1,$AQ$13)-INDEX(R14:R17,$AQ$13,1)))</f>
        <v>2</v>
      </c>
      <c r="AT14" s="168">
        <f>IF(ISNA($AQ$13),0,INDEX(R14:U14,1,$AQ$13))</f>
        <v>4</v>
      </c>
      <c r="AU14" s="166"/>
      <c r="AV14" s="180"/>
      <c r="AW14" s="168">
        <f>IF(ISNA($AV$13),0,INDEX(X14:AA14,1,$AV$13))</f>
        <v>3</v>
      </c>
      <c r="AX14" s="168">
        <f>IF(ISNA($AV$13),0,(INDEX(R14:U14,1,$AV$13)-INDEX(R14:R17,$AV$13,1)))</f>
        <v>4</v>
      </c>
      <c r="AY14" s="168">
        <f>IF(ISNA($AV$13),0,INDEX(R14:U14,1,$AV$13))</f>
        <v>4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4</v>
      </c>
      <c r="D15" s="151">
        <f>E15+ROW()/1000</f>
        <v>4.015</v>
      </c>
      <c r="E15" s="151">
        <f>RANK(K15,$K$14:$K$17)</f>
        <v>4</v>
      </c>
      <c r="F15" s="43" t="str">
        <f>VLOOKUP(B15,Ergebniseingabe!$AB$19:$AW$22,2,0)</f>
        <v>Herzebrocker SV</v>
      </c>
      <c r="G15" s="39">
        <f>SUMPRODUCT((F15=Ergebniseingabe!$L$27:$AF$38)*(Ergebniseingabe!$BC$27:$BC$38))+SUMPRODUCT((F15=Ergebniseingabe!$AH$27:$BB$38)*(Ergebniseingabe!$BF$27:$BF$38))</f>
        <v>2</v>
      </c>
      <c r="H15" s="39">
        <f>SUMPRODUCT((F15=Ergebniseingabe!$L$27:$AF$38)*(Ergebniseingabe!$BF$27:$BF$38))+SUMPRODUCT((F15=Ergebniseingabe!$AH$27:$BB$38)*(Ergebniseingabe!$BC$27:$BC$38))</f>
        <v>11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-9</v>
      </c>
      <c r="K15" s="190">
        <f>AC15+AI15+AO15</f>
        <v>-8998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3</v>
      </c>
      <c r="Q15" s="172" t="str">
        <f>F15</f>
        <v>Herzebrocker SV</v>
      </c>
      <c r="R15" s="174">
        <f>IF(AND(Q15&amp;$R$13=VLOOKUP(Q15&amp;$R$13,$D$23:$I$46,1,0),VLOOKUP(Q15&amp;$R$13,$D$23:$I$46,6,0)&lt;&gt;""),VLOOKUP(Q15&amp;$R$13,$D$23:$I$46,6,0),)</f>
        <v>2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Herzebrocker SV</v>
      </c>
      <c r="X15" s="174">
        <f>IF(AND(ISNUMBER(R15),ISNUMBER(S14)),IF(R15&gt;S14,3,IF(R15=S14,1,0)),0)</f>
        <v>0</v>
      </c>
      <c r="Y15" s="173"/>
      <c r="Z15" s="174">
        <f>IF(AND(ISNUMBER(T15),ISNUMBER(S16)),IF(T15&gt;S16,3,IF(T15=S16,1,0)),0)</f>
        <v>0</v>
      </c>
      <c r="AA15" s="174">
        <f>IF(AND(ISNUMBER(U15),ISNUMBER(S17)),IF(U15&gt;S17,3,IF(U15=S17,1,0)),0)</f>
        <v>0</v>
      </c>
      <c r="AB15" s="164"/>
      <c r="AC15" s="175">
        <f>I15*100000+J15*1000+G15</f>
        <v>-8998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0</v>
      </c>
      <c r="AM15" s="168">
        <f>J15-INDEX(R15:U15,1,AK13)-INDEX(S14:S17,AK13,1)-ABS(AS15)-ABS(AX15)</f>
        <v>-16</v>
      </c>
      <c r="AN15" s="168">
        <f>G15-INDEX(R15:U15,1,$AK$13)-AT15-AY15</f>
        <v>0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-1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3.016</v>
      </c>
      <c r="E16" s="151">
        <f>RANK(K16,$K$14:$K$17)</f>
        <v>3</v>
      </c>
      <c r="F16" s="43" t="str">
        <f>VLOOKUP(B16,Ergebniseingabe!$AB$19:$AW$22,2,0)</f>
        <v>FC Sürenheide</v>
      </c>
      <c r="G16" s="39">
        <f>SUMPRODUCT((F16=Ergebniseingabe!$L$27:$AF$38)*(Ergebniseingabe!$BC$27:$BC$38))+SUMPRODUCT((F16=Ergebniseingabe!$AH$27:$BB$38)*(Ergebniseingabe!$BF$27:$BF$38))</f>
        <v>1</v>
      </c>
      <c r="H16" s="39">
        <f>SUMPRODUCT((F16=Ergebniseingabe!$L$27:$AF$38)*(Ergebniseingabe!$BF$27:$BF$38))+SUMPRODUCT((F16=Ergebniseingabe!$AH$27:$BB$38)*(Ergebniseingabe!$BC$27:$BC$38))</f>
        <v>6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3</v>
      </c>
      <c r="J16" s="40">
        <f>G16-H16</f>
        <v>-5</v>
      </c>
      <c r="K16" s="190">
        <f>AC16+AI16+AO16</f>
        <v>295001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1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2</v>
      </c>
      <c r="Q16" s="172" t="str">
        <f>F16</f>
        <v>FC Sürenheide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1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FC Sürenheide</v>
      </c>
      <c r="X16" s="174">
        <f>IF(AND(ISNUMBER(R16),ISNUMBER(T14)),IF(R16&gt;T14,3,IF(R16=T14,1,0)),0)</f>
        <v>0</v>
      </c>
      <c r="Y16" s="174">
        <f>IF(AND(ISNUMBER(S16),ISNUMBER(T15)),IF(S16&gt;T15,3,IF(S16=T15,1,0)),0)</f>
        <v>3</v>
      </c>
      <c r="Z16" s="173"/>
      <c r="AA16" s="174">
        <f>IF(AND(ISNUMBER(U16),ISNUMBER(T17)),IF(U16&gt;T17,3,IF(U16=T17,1,0)),0)</f>
        <v>0</v>
      </c>
      <c r="AB16" s="164"/>
      <c r="AC16" s="175">
        <f>I16*100000+J16*1000+G16</f>
        <v>295001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0</v>
      </c>
      <c r="AM16" s="168">
        <f>J16-INDEX(R16:U16,1,AK13)-INDEX(T14:T17,AK13,1)-ABS(AS16)-ABS(AX16)</f>
        <v>-10</v>
      </c>
      <c r="AN16" s="168">
        <f>G16-INDEX(R16:U16,1,$AK$13)-AT16-AY16</f>
        <v>0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3</v>
      </c>
      <c r="AS16" s="168">
        <f>IF(ISNA($AQ$13),0,(INDEX(R16:U16,1,$AQ$13)-INDEX(T14:T17,$AQ$13,1)))</f>
        <v>1</v>
      </c>
      <c r="AT16" s="168">
        <f>IF(ISNA($AQ$13),0,INDEX(R16:U16,1,$AQ$13))</f>
        <v>1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1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FA Herringhausen-Eickum</v>
      </c>
      <c r="G17" s="39">
        <f>SUMPRODUCT((F17=Ergebniseingabe!$L$27:$AF$38)*(Ergebniseingabe!$BC$27:$BC$38))+SUMPRODUCT((F17=Ergebniseingabe!$AH$27:$BB$38)*(Ergebniseingabe!$BF$27:$BF$38))</f>
        <v>8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7</v>
      </c>
      <c r="J17" s="40">
        <f>G17-H17</f>
        <v>8</v>
      </c>
      <c r="K17" s="190">
        <f>AC17+AI17+AO17</f>
        <v>708008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2</v>
      </c>
      <c r="N17" s="39">
        <f>SUMPRODUCT((Ergebniseingabe!$L$27:$BB$38=F17)*(Ergebniseingabe!$BC$27:$BC$38=Ergebniseingabe!$BF$27:$BF$38)*(Ergebniseingabe!$BC$27:$BC$38&lt;&gt;"")*(Ergebniseingabe!$BF$27:$BF$38&lt;&gt;""))</f>
        <v>1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FA Herringhausen-Eickum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6</v>
      </c>
      <c r="T17" s="174">
        <f>IF(AND(Q17&amp;$T$13=VLOOKUP(Q17&amp;$T$13,$D$23:$I$46,1,0),VLOOKUP(Q17&amp;$T$13,$D$23:$I$46,6,0)&lt;&gt;""),VLOOKUP(Q17&amp;$T$13,$D$23:$I$46,6,0),)</f>
        <v>2</v>
      </c>
      <c r="U17" s="173"/>
      <c r="V17" s="164"/>
      <c r="W17" s="185" t="str">
        <f>Q17</f>
        <v>FA Herringhausen-Eickum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3</v>
      </c>
      <c r="Z17" s="174">
        <f>IF(AND(ISNUMBER(T17),ISNUMBER(U16)),IF(T17&gt;U16,3,IF(T17=U16,1,0)),0)</f>
        <v>3</v>
      </c>
      <c r="AA17" s="173"/>
      <c r="AB17" s="164"/>
      <c r="AC17" s="175">
        <f>I17*100000+J17*1000+G17</f>
        <v>708008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0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3</v>
      </c>
      <c r="AS17" s="168">
        <f>IF(ISNA($AQ$13),0,(INDEX(R17:U17,1,$AQ$13)-INDEX(U14:U17,$AQ$13,1)))</f>
        <v>6</v>
      </c>
      <c r="AT17" s="168">
        <f>IF(ISNA($AQ$13),0,INDEX(R17:U17,1,$AQ$13))</f>
        <v>6</v>
      </c>
      <c r="AU17" s="166"/>
      <c r="AV17" s="180"/>
      <c r="AW17" s="168">
        <f>IF(ISNA($AV$13),0,INDEX(X17:AA17,1,$AV$13))</f>
        <v>3</v>
      </c>
      <c r="AX17" s="168">
        <f>IF(ISNA($AV$13),0,(INDEX(R17:U17,1,$AV$13)-INDEX(U14:U17,$AV$13,1)))</f>
        <v>2</v>
      </c>
      <c r="AY17" s="168">
        <f>IF(ISNA($AV$13),0,INDEX(R17:U17,1,$AV$13))</f>
        <v>2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78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57</v>
      </c>
      <c r="AM18" s="189" t="s">
        <v>58</v>
      </c>
      <c r="AN18" s="189" t="s">
        <v>79</v>
      </c>
      <c r="AO18" s="170"/>
      <c r="AP18" s="167"/>
      <c r="AQ18" s="170"/>
      <c r="AR18" s="189" t="s">
        <v>57</v>
      </c>
      <c r="AS18" s="189" t="s">
        <v>58</v>
      </c>
      <c r="AT18" s="189" t="s">
        <v>79</v>
      </c>
      <c r="AU18" s="170"/>
      <c r="AV18" s="170"/>
      <c r="AW18" s="189" t="s">
        <v>57</v>
      </c>
      <c r="AX18" s="189" t="s">
        <v>58</v>
      </c>
      <c r="AY18" s="189" t="s">
        <v>79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FC GüterslohSpvg Steinhagen</v>
      </c>
      <c r="E23" s="36" t="str">
        <f>F5</f>
        <v>FC Gütersloh</v>
      </c>
      <c r="F23" s="36" t="str">
        <f>F6</f>
        <v>Spvg Steinhagen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1:1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1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FC GüterslohSV Spexard</v>
      </c>
      <c r="E24" s="36" t="str">
        <f>F5</f>
        <v>FC Gütersloh</v>
      </c>
      <c r="F24" s="36" t="str">
        <f>F7</f>
        <v>SV Spexard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1:0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1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FC GüterslohSCE Gütersloh</v>
      </c>
      <c r="E25" s="36" t="str">
        <f>F5</f>
        <v>FC Gütersloh</v>
      </c>
      <c r="F25" s="36" t="str">
        <f>F8</f>
        <v>SCE Gütersloh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1:1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1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Spvg SteinhagenSV Spexard</v>
      </c>
      <c r="E26" s="36" t="str">
        <f>F6</f>
        <v>Spvg Steinhagen</v>
      </c>
      <c r="F26" s="36" t="str">
        <f>F7</f>
        <v>SV Spexard</v>
      </c>
      <c r="G26" s="36" t="str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  <v>2:0</v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  <v>2</v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Spvg SteinhagenSCE Gütersloh</v>
      </c>
      <c r="E27" s="36" t="str">
        <f>F6</f>
        <v>Spvg Steinhagen</v>
      </c>
      <c r="F27" s="36" t="str">
        <f>F8</f>
        <v>SCE Gütersloh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4:1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4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SV SpexardSCE Gütersloh</v>
      </c>
      <c r="E28" s="36" t="str">
        <f>F7</f>
        <v>SV Spexard</v>
      </c>
      <c r="F28" s="36" t="str">
        <f>F8</f>
        <v>SCE Gütersloh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2:0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2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Spvg SteinhagenFC Gütersloh</v>
      </c>
      <c r="E29" s="36" t="str">
        <f aca="true" t="shared" si="1" ref="E29:E34">F23</f>
        <v>Spvg Steinhagen</v>
      </c>
      <c r="F29" s="36" t="str">
        <f aca="true" t="shared" si="2" ref="F29:F34">E23</f>
        <v>FC Gütersloh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1:1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1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SV SpexardFC Gütersloh</v>
      </c>
      <c r="E30" s="36" t="str">
        <f t="shared" si="1"/>
        <v>SV Spexard</v>
      </c>
      <c r="F30" s="36" t="str">
        <f t="shared" si="2"/>
        <v>FC Gütersloh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0:1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SCE GüterslohFC Gütersloh</v>
      </c>
      <c r="E31" s="36" t="str">
        <f t="shared" si="1"/>
        <v>SCE Gütersloh</v>
      </c>
      <c r="F31" s="36" t="str">
        <f t="shared" si="2"/>
        <v>FC Gütersloh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1:1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1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SV SpexardSpvg Steinhagen</v>
      </c>
      <c r="E32" s="36" t="str">
        <f t="shared" si="1"/>
        <v>SV Spexard</v>
      </c>
      <c r="F32" s="36" t="str">
        <f t="shared" si="2"/>
        <v>Spvg Steinhagen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 t="str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  <v>0:2</v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  <v>0</v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SCE GüterslohSpvg Steinhagen</v>
      </c>
      <c r="E33" s="36" t="str">
        <f t="shared" si="1"/>
        <v>SCE Gütersloh</v>
      </c>
      <c r="F33" s="36" t="str">
        <f t="shared" si="2"/>
        <v>Spvg Steinhagen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1:4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1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SCE GüterslohSV Spexard</v>
      </c>
      <c r="E34" s="36" t="str">
        <f t="shared" si="1"/>
        <v>SCE Gütersloh</v>
      </c>
      <c r="F34" s="36" t="str">
        <f t="shared" si="2"/>
        <v>SV Spexard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0:2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TuS Eintracht BielefeldHerzebrocker SV</v>
      </c>
      <c r="E35" s="36" t="str">
        <f>F14</f>
        <v>TuS Eintracht Bielefeld</v>
      </c>
      <c r="F35" s="36" t="str">
        <f>F15</f>
        <v>Herzebrocker SV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4:2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4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TuS Eintracht BielefeldFC Sürenheide</v>
      </c>
      <c r="E36" s="36" t="str">
        <f>F14</f>
        <v>TuS Eintracht Bielefeld</v>
      </c>
      <c r="F36" s="36" t="str">
        <f>F16</f>
        <v>FC Sürenheide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4:0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4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TuS Eintracht BielefeldFA Herringhausen-Eickum</v>
      </c>
      <c r="E37" s="36" t="str">
        <f>F14</f>
        <v>TuS Eintracht Bielefeld</v>
      </c>
      <c r="F37" s="36" t="str">
        <f>F17</f>
        <v>FA Herringhausen-Eickum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0:0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0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Herzebrocker SVFC Sürenheide</v>
      </c>
      <c r="E38" s="36" t="str">
        <f>F15</f>
        <v>Herzebrocker SV</v>
      </c>
      <c r="F38" s="36" t="str">
        <f>F16</f>
        <v>FC Sürenheide</v>
      </c>
      <c r="G38" s="36" t="str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  <v>0:1</v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  <v>0</v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Herzebrocker SVFA Herringhausen-Eickum</v>
      </c>
      <c r="E39" s="36" t="str">
        <f>F15</f>
        <v>Herzebrocker SV</v>
      </c>
      <c r="F39" s="36" t="str">
        <f>F17</f>
        <v>FA Herringhausen-Eickum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0:6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0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FC SürenheideFA Herringhausen-Eickum</v>
      </c>
      <c r="E40" s="36" t="str">
        <f>F16</f>
        <v>FC Sürenheide</v>
      </c>
      <c r="F40" s="36" t="str">
        <f>F17</f>
        <v>FA Herringhausen-Eickum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0:2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Herzebrocker SVTuS Eintracht Bielefeld</v>
      </c>
      <c r="E41" s="36" t="str">
        <f aca="true" t="shared" si="3" ref="E41:E46">F35</f>
        <v>Herzebrocker SV</v>
      </c>
      <c r="F41" s="36" t="str">
        <f aca="true" t="shared" si="4" ref="F41:F46">E35</f>
        <v>TuS Eintracht Bielefeld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2:4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2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FC SürenheideTuS Eintracht Bielefeld</v>
      </c>
      <c r="E42" s="36" t="str">
        <f t="shared" si="3"/>
        <v>FC Sürenheide</v>
      </c>
      <c r="F42" s="36" t="str">
        <f t="shared" si="4"/>
        <v>TuS Eintracht Bielefeld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0:4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0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FA Herringhausen-EickumTuS Eintracht Bielefeld</v>
      </c>
      <c r="E43" s="36" t="str">
        <f t="shared" si="3"/>
        <v>FA Herringhausen-Eickum</v>
      </c>
      <c r="F43" s="36" t="str">
        <f t="shared" si="4"/>
        <v>TuS Eintracht Bielefeld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0:0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0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FC SürenheideHerzebrocker SV</v>
      </c>
      <c r="E44" s="36" t="str">
        <f t="shared" si="3"/>
        <v>FC Sürenheide</v>
      </c>
      <c r="F44" s="36" t="str">
        <f t="shared" si="4"/>
        <v>Herzebrocker SV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 t="str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  <v>1:0</v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  <v>1</v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FA Herringhausen-EickumHerzebrocker SV</v>
      </c>
      <c r="E45" s="36" t="str">
        <f t="shared" si="3"/>
        <v>FA Herringhausen-Eickum</v>
      </c>
      <c r="F45" s="36" t="str">
        <f t="shared" si="4"/>
        <v>Herzebrocker SV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6:0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6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FA Herringhausen-EickumFC Sürenheide</v>
      </c>
      <c r="E46" s="36" t="str">
        <f t="shared" si="3"/>
        <v>FA Herringhausen-Eickum</v>
      </c>
      <c r="F46" s="36" t="str">
        <f t="shared" si="4"/>
        <v>FC Sürenheide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2:0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2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Fc G</cp:lastModifiedBy>
  <cp:lastPrinted>2020-02-08T08:59:23Z</cp:lastPrinted>
  <dcterms:created xsi:type="dcterms:W3CDTF">2010-02-21T20:13:34Z</dcterms:created>
  <dcterms:modified xsi:type="dcterms:W3CDTF">2020-02-08T12:25:19Z</dcterms:modified>
  <cp:category/>
  <cp:version/>
  <cp:contentType/>
  <cp:contentStatus/>
</cp:coreProperties>
</file>